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Boom Over Front" sheetId="1" r:id="rId1"/>
    <sheet name="Trailing Boom" sheetId="2" r:id="rId2"/>
  </sheets>
  <externalReferences>
    <externalReference r:id="rId5"/>
  </externalReferences>
  <definedNames>
    <definedName name="A" localSheetId="1">'Trailing Boom'!$T$14</definedName>
    <definedName name="A">#REF!</definedName>
    <definedName name="ACwvu.View1." localSheetId="1" hidden="1">'Trailing Boom'!$L$30</definedName>
    <definedName name="Bogie" localSheetId="1">'Trailing Boom'!$M$7</definedName>
    <definedName name="Bogie">#REF!</definedName>
    <definedName name="Boom_L" localSheetId="1">'Trailing Boom'!$F$44</definedName>
    <definedName name="Boom_L">#REF!</definedName>
    <definedName name="Boom_L3" localSheetId="1">'Trailing Boom'!$F$44</definedName>
    <definedName name="Boom_L3">#REF!</definedName>
    <definedName name="BoomPin" localSheetId="1">'Trailing Boom'!$M$8</definedName>
    <definedName name="BoomPin">#REF!</definedName>
    <definedName name="CG_AuxNose" localSheetId="1">'Trailing Boom'!$G$46</definedName>
    <definedName name="CG_AuxNose">#REF!</definedName>
    <definedName name="CG_Boom" localSheetId="1">'Trailing Boom'!$G$50</definedName>
    <definedName name="CG_Boom">#REF!</definedName>
    <definedName name="CG_Carrier" localSheetId="1">'Trailing Boom'!$G$96</definedName>
    <definedName name="CG_Carrier">#REF!</definedName>
    <definedName name="CG_Ctwt" localSheetId="1">'Trailing Boom'!$G$81</definedName>
    <definedName name="CG_Ctwt">#REF!</definedName>
    <definedName name="CG_Extn" localSheetId="1">'Trailing Boom'!$G$57</definedName>
    <definedName name="CG_Extn">#REF!</definedName>
    <definedName name="CG_Hyd" localSheetId="1">'Trailing Boom'!#REF!</definedName>
    <definedName name="CG_Hyd">#REF!</definedName>
    <definedName name="CG_LiftCyl" localSheetId="1">'Trailing Boom'!$G$61</definedName>
    <definedName name="CG_LiftCyl">#REF!</definedName>
    <definedName name="CG_SS" localSheetId="1">'Trailing Boom'!$G$73</definedName>
    <definedName name="CG_SS">#REF!</definedName>
    <definedName name="Dim._A" localSheetId="1">'Trailing Boom'!#REF!</definedName>
    <definedName name="Dim._A">#REF!</definedName>
    <definedName name="Dolly" localSheetId="1">'Trailing Boom'!$K$17</definedName>
    <definedName name="Dolly">#REF!</definedName>
    <definedName name="Front_Overhg" localSheetId="1">'Trailing Boom'!$M$10</definedName>
    <definedName name="Front_Overhg">#REF!</definedName>
    <definedName name="Interval_Boom" localSheetId="1">'Trailing Boom'!#REF!</definedName>
    <definedName name="Interval_Boom">#REF!</definedName>
    <definedName name="Interval_Dolly" localSheetId="1">'Trailing Boom'!#REF!</definedName>
    <definedName name="Interval_Dolly">#REF!</definedName>
    <definedName name="M_BoomUnit" localSheetId="1">'Trailing Boom'!$I$50</definedName>
    <definedName name="M_BoomUnit">#REF!</definedName>
    <definedName name="M_ExtUnit" localSheetId="1">'Trailing Boom'!$I$57</definedName>
    <definedName name="M_ExtUnit">#REF!</definedName>
    <definedName name="Max._Boom_Length" localSheetId="1">'Trailing Boom'!$F$45</definedName>
    <definedName name="Max._Boom_Length">#REF!</definedName>
    <definedName name="Max._Dolly" localSheetId="1">'Trailing Boom'!$K$16</definedName>
    <definedName name="Max._Dolly">#REF!</definedName>
    <definedName name="Min._Boom_Length" localSheetId="1">'Trailing Boom'!$F$43</definedName>
    <definedName name="Min._Boom_Length">#REF!</definedName>
    <definedName name="Min._Dolly" localSheetId="1">'Trailing Boom'!$K$18</definedName>
    <definedName name="Min._Dolly">#REF!</definedName>
    <definedName name="N_Boom_L_ext" localSheetId="1">'Trailing Boom'!#REF!</definedName>
    <definedName name="N_Boom_L_ext">#REF!</definedName>
    <definedName name="N_Boom_L_retr" localSheetId="1">'Trailing Boom'!#REF!</definedName>
    <definedName name="N_Boom_L_retr">#REF!</definedName>
    <definedName name="N_Dolly_ext" localSheetId="1">'Trailing Boom'!$T$18</definedName>
    <definedName name="N_Dolly_ext">#REF!</definedName>
    <definedName name="N_Dolly_retr" localSheetId="1">'Trailing Boom'!#REF!</definedName>
    <definedName name="N_Dolly_retr">#REF!</definedName>
    <definedName name="PivotPin" localSheetId="1">'Trailing Boom'!$M$8</definedName>
    <definedName name="PivotPin">#REF!</definedName>
    <definedName name="_xlnm.Print_Area" localSheetId="0">'Boom Over Front'!$A$1:$I$79</definedName>
    <definedName name="_xlnm.Print_Area" localSheetId="1">'Trailing Boom'!$A$1:$O$107</definedName>
    <definedName name="Print_Area1" localSheetId="1">'Trailing Boom'!$A$1:$O$107</definedName>
    <definedName name="Print_Area1">#REF!</definedName>
    <definedName name="Print_Area2" localSheetId="1">'Trailing Boom'!$A$1:$O$107</definedName>
    <definedName name="Print_Area2">#REF!</definedName>
    <definedName name="Swvu.View1." localSheetId="1" hidden="1">'Trailing Boom'!$L$30</definedName>
    <definedName name="Wheelbase" localSheetId="1">'Trailing Boom'!$M$6</definedName>
    <definedName name="Wheelbase">#REF!</definedName>
    <definedName name="Wt_AuxNose" localSheetId="1">'Trailing Boom'!$H$46</definedName>
    <definedName name="Wt_AuxNose">#REF!</definedName>
    <definedName name="Wt_Boom" localSheetId="1">'Trailing Boom'!$H$50</definedName>
    <definedName name="Wt_Boom">#REF!</definedName>
    <definedName name="Wt_Carrier" localSheetId="1">'Trailing Boom'!$H$96</definedName>
    <definedName name="Wt_Carrier">#REF!</definedName>
    <definedName name="Wt_Ctwt" localSheetId="1">'Trailing Boom'!$H$81</definedName>
    <definedName name="Wt_Ctwt">#REF!</definedName>
    <definedName name="Wt_Dolly" localSheetId="1">'Trailing Boom'!$N$99</definedName>
    <definedName name="Wt_Dolly">#REF!</definedName>
    <definedName name="Wt_Extn" localSheetId="1">'Trailing Boom'!$H$57</definedName>
    <definedName name="Wt_Extn">#REF!</definedName>
    <definedName name="Wt_LiftCyl" localSheetId="1">'Trailing Boom'!$R$61</definedName>
    <definedName name="Wt_LiftCyl">#REF!</definedName>
    <definedName name="Wt_SS" localSheetId="1">'Trailing Boom'!$H$73</definedName>
    <definedName name="Wt_SS">#REF!</definedName>
    <definedName name="wvu.View1." localSheetId="1" hidden="1">{FALSE,FALSE,-1.25,-15.5,484.5,276.75,FALSE,TRUE,TRUE,TRUE,0,3,#N/A,3,#N/A,12.058823529411764,29.8,1,FALSE,FALSE,3,FALSE,1,FALSE,60,"Swvu.View1.","ACwvu.View1.",#N/A,FALSE,FALSE,0.94,0.52,0.57,0.74,1,"","&amp;LFile: &amp;F&amp;CPage &amp;P&amp;RPrinted: &amp;D &amp;T",FALSE,FALSE,FALSE,FALSE,1,#N/A,1,1,FALSE,FALSE,FALSE,FALSE,FALSE,FALSE,FALSE,1,65532,65532,FALSE,FALSE,TRUE,TRUE,TRUE}</definedName>
  </definedNames>
  <calcPr fullCalcOnLoad="1"/>
</workbook>
</file>

<file path=xl/sharedStrings.xml><?xml version="1.0" encoding="utf-8"?>
<sst xmlns="http://schemas.openxmlformats.org/spreadsheetml/2006/main" count="254" uniqueCount="197">
  <si>
    <t>A6-829-103807</t>
  </si>
  <si>
    <t>Revision: C</t>
  </si>
  <si>
    <t>Page 1 of 1</t>
  </si>
  <si>
    <t>Created by John Gates</t>
  </si>
  <si>
    <t>TYPICAL UNIT equipped with:</t>
  </si>
  <si>
    <t>Revised by Joyce Mentzer</t>
  </si>
  <si>
    <t>TMS800E07 Carrier and S/S</t>
  </si>
  <si>
    <t>4-Section boom (41 - 128 ft)</t>
  </si>
  <si>
    <t>Cummins ISM07- 450 Engine</t>
  </si>
  <si>
    <t>Eaton 10 Speed Transmission</t>
  </si>
  <si>
    <t>445/65R22.5 Goodyear Tires (Front)</t>
  </si>
  <si>
    <t>315/80R22.5 Goodyear Tires (Rear)</t>
  </si>
  <si>
    <t>Main hoist w/ 600 ft of 3/4" 6x37 cable</t>
  </si>
  <si>
    <t>Aux hoist w/ 607 ft of 3/4" Flex-X 35 cable</t>
  </si>
  <si>
    <t>Full fuel and hydr. oil</t>
  </si>
  <si>
    <t>FRONT</t>
  </si>
  <si>
    <t>REAR</t>
  </si>
  <si>
    <t>Note:  CG is from Rear Axle.</t>
  </si>
  <si>
    <t xml:space="preserve">Tire &amp; Wheel Allowable (lb)  </t>
  </si>
  <si>
    <t xml:space="preserve">Axle Allowable (lb) </t>
  </si>
  <si>
    <t>CL Rot to Boom Pivot (in)</t>
  </si>
  <si>
    <t>Note:</t>
  </si>
  <si>
    <t>Allowable front tire load is</t>
  </si>
  <si>
    <t>CL Rotation to Rear Axle (in)</t>
  </si>
  <si>
    <t>51200 lbs with Michelin tires.</t>
  </si>
  <si>
    <t>Wheelbase (in):</t>
  </si>
  <si>
    <t xml:space="preserve">Target Gross Vehicle Weight (lb)   </t>
  </si>
  <si>
    <t>GVW FRONT</t>
  </si>
  <si>
    <t>GVW REAR</t>
  </si>
  <si>
    <t>AXLES</t>
  </si>
  <si>
    <t>WEIGHT</t>
  </si>
  <si>
    <t>CG  (in)</t>
  </si>
  <si>
    <t>WGT  (lb)</t>
  </si>
  <si>
    <t>(lb)</t>
  </si>
  <si>
    <t>USED</t>
  </si>
  <si>
    <t xml:space="preserve"> </t>
  </si>
  <si>
    <t>Standard Carrier Assy (8x4x4)</t>
  </si>
  <si>
    <t>Superstructure Assy with main &amp; aux hoists (both with cable)</t>
  </si>
  <si>
    <t>Boom Assy w/(2/4)shvs,LMI,pivot pins</t>
  </si>
  <si>
    <t>Lift cylinder &amp; lower shaft</t>
  </si>
  <si>
    <t>Aux. Boom Nose, installed</t>
  </si>
  <si>
    <t xml:space="preserve">BASIC UNIT    </t>
  </si>
  <si>
    <t>Boom Extensions</t>
  </si>
  <si>
    <t xml:space="preserve">33-56 ft. Bi-fold Boom Extension </t>
  </si>
  <si>
    <t xml:space="preserve">33 ft. Fixed Boom Extension </t>
  </si>
  <si>
    <t>Boom Extension Carrier Brackets (Bolt-On)</t>
  </si>
  <si>
    <t>20 ft.Boom Ext. Insert w/LMI (pinned to boom nose)</t>
  </si>
  <si>
    <t>Counterweights</t>
  </si>
  <si>
    <t>4000 lb counterweight (top piece with pins) on S/S</t>
  </si>
  <si>
    <t>4000 lb counterweight (with pins) on S/S</t>
  </si>
  <si>
    <t>4000 lb counterweight (with pins) on carrier deck</t>
  </si>
  <si>
    <t>6000 lb counterweight (with pins) on S/S</t>
  </si>
  <si>
    <t>6000 lb counterweight (with pins) on carrier deck</t>
  </si>
  <si>
    <t>6000 lb  wing cwt on S/S - 2x3000 lb. (not roadable)</t>
  </si>
  <si>
    <t>6000 lb  wing cwt on deck - 2x3000 lb. (not roadable)</t>
  </si>
  <si>
    <t>Rigging Equipment</t>
  </si>
  <si>
    <t>10 Ton Headache Ball (Swivel) in stowage tray</t>
  </si>
  <si>
    <t>75 Ton Hookblock - tied to front bumper</t>
  </si>
  <si>
    <t>40 Ton Hookblock - tied to front bumper</t>
  </si>
  <si>
    <t>Rigging</t>
  </si>
  <si>
    <t>Cribbing (in rear troughs)</t>
  </si>
  <si>
    <t>Optional Equipment</t>
  </si>
  <si>
    <t>Rear Mounted Pintle Hook</t>
  </si>
  <si>
    <t>Air Conditioning - Carrier</t>
  </si>
  <si>
    <t>Air Conditioning - S/S</t>
  </si>
  <si>
    <t>Tow Rope</t>
  </si>
  <si>
    <t>Driver</t>
  </si>
  <si>
    <t xml:space="preserve">BASIC UNIT w/ above selections    </t>
  </si>
  <si>
    <t>Substitutions, Deletions and Removals</t>
  </si>
  <si>
    <t>SUB:</t>
  </si>
  <si>
    <t xml:space="preserve">Main Hoist only (replace aux hoist &amp; cable with IPO cwt) </t>
  </si>
  <si>
    <t>DEL:</t>
  </si>
  <si>
    <t>Main Hoist cable (600' of 3/4" 6x37)</t>
  </si>
  <si>
    <t>Aux Hoist cable (607' of 3/4" Flex-X 35)</t>
  </si>
  <si>
    <t>Optional Cable on Main Hoist (607' of 3/4" Flex-X 35)</t>
  </si>
  <si>
    <t>Alumunum Outrigger Floats</t>
  </si>
  <si>
    <t>Michelin Tires</t>
  </si>
  <si>
    <t>Bridgestone Tires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</si>
  <si>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</si>
  <si>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</si>
  <si>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</si>
  <si>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</si>
  <si>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</si>
  <si>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</si>
  <si>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</si>
  <si>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</si>
  <si>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</si>
  <si>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</si>
  <si>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</si>
  <si>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</si>
  <si>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</si>
  <si>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</si>
  <si>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</si>
  <si>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Updated to match weight sheet A6-829-103807 Rev C.</t>
  </si>
  <si>
    <t>J. Gates</t>
  </si>
  <si>
    <t xml:space="preserve">Revision: </t>
  </si>
  <si>
    <t>TMS800E07 TRAILING BOOM ,  2-Axle Dolly</t>
  </si>
  <si>
    <t>Dimensions:</t>
  </si>
  <si>
    <t>Wheelbase</t>
  </si>
  <si>
    <t>in</t>
  </si>
  <si>
    <t>Bogie</t>
  </si>
  <si>
    <t>Boom Pivot Pin (from CL Rotation):</t>
  </si>
  <si>
    <t>Overall retracted Boom Length:</t>
  </si>
  <si>
    <t>ft</t>
  </si>
  <si>
    <t>Front Overhang</t>
  </si>
  <si>
    <t>Rear Overhang</t>
  </si>
  <si>
    <t>OAL:</t>
  </si>
  <si>
    <t>Intermediate Calculations:</t>
  </si>
  <si>
    <t>A=</t>
  </si>
  <si>
    <t>Extension</t>
  </si>
  <si>
    <t>Dolly Max:</t>
  </si>
  <si>
    <t>Actual:</t>
  </si>
  <si>
    <t>Dolly Spinner:</t>
  </si>
  <si>
    <t>Dolly  Min. :</t>
  </si>
  <si>
    <t>Boom Max:</t>
  </si>
  <si>
    <t>Boom Spinner:</t>
  </si>
  <si>
    <t>Boom Min. :</t>
  </si>
  <si>
    <t>Front Axle</t>
  </si>
  <si>
    <t>Rear Axle</t>
  </si>
  <si>
    <t>Dolly</t>
  </si>
  <si>
    <t>Total</t>
  </si>
  <si>
    <t>Crane only (less Dolly)</t>
  </si>
  <si>
    <t>Resultant Weights</t>
  </si>
  <si>
    <t>lb</t>
  </si>
  <si>
    <t>Allowable Weights:</t>
  </si>
  <si>
    <t>Notes:  1</t>
  </si>
  <si>
    <t>CG is from C/L Rotation, + is toward boom nose</t>
  </si>
  <si>
    <t>Max. allowable front axle load is 51200 lbs with Michelin tires.</t>
  </si>
  <si>
    <t>CG is from Boom Pivot Pin, + is toward boom nose</t>
  </si>
  <si>
    <t>Dimensions are in inches, except as noted.</t>
  </si>
  <si>
    <t>Weights are in pounds.</t>
  </si>
  <si>
    <t>Reaction at Boom Dolly:</t>
  </si>
  <si>
    <t>Reaction at Boom Pin:</t>
  </si>
  <si>
    <t>Reactions (lb) at</t>
  </si>
  <si>
    <t>CG (in)</t>
  </si>
  <si>
    <t>Wt (lb)</t>
  </si>
  <si>
    <t>Moment</t>
  </si>
  <si>
    <t>Boom Pivot</t>
  </si>
  <si>
    <t>Front Axles</t>
  </si>
  <si>
    <t>Rear Axles</t>
  </si>
  <si>
    <t>Boom, 4-Section</t>
  </si>
  <si>
    <t>(See Note 2)</t>
  </si>
  <si>
    <t>Boom
Length (ft)</t>
  </si>
  <si>
    <t>Boom Unit</t>
  </si>
  <si>
    <t>1) Fully retracted</t>
  </si>
  <si>
    <t>2) Intermediate length (Used for Calc.)</t>
  </si>
  <si>
    <t>3) Extended</t>
  </si>
  <si>
    <t>Aux Boom Nose, Installed</t>
  </si>
  <si>
    <t>10 T Headache Ball , hanging on boom nose</t>
  </si>
  <si>
    <t>75 T Hookblock, hanging on boom nose</t>
  </si>
  <si>
    <t>40 T Hookblock, hanging on boom nose</t>
  </si>
  <si>
    <t>Stowed Boom Extension</t>
  </si>
  <si>
    <t>STOWED EXTENSIONS UNIT</t>
  </si>
  <si>
    <t>33'-56'  Folded Extension</t>
  </si>
  <si>
    <t>33'  Fixed Extension</t>
  </si>
  <si>
    <t>Extension Carrier Brackets</t>
  </si>
  <si>
    <t>Lift Cylinder (with lower pin)</t>
  </si>
  <si>
    <t>(See Note 1)</t>
  </si>
  <si>
    <t>At Cyl.</t>
  </si>
  <si>
    <t>Lift Cylinder</t>
  </si>
  <si>
    <t>Mount</t>
  </si>
  <si>
    <t>Rear Mount</t>
  </si>
  <si>
    <t>Front Mount</t>
  </si>
  <si>
    <t>( Mount horizontal location is from CL Rotation,  + is towards boom nose)</t>
  </si>
  <si>
    <t>Superstructure</t>
  </si>
  <si>
    <t>S/S UNIT</t>
  </si>
  <si>
    <t>Superstructure with main &amp; aux hoists (both with cable)</t>
  </si>
  <si>
    <t>SUBSTITUTE: Main hoist only (replace aux hoist &amp; cable with IPO cwt)</t>
  </si>
  <si>
    <t>DELETE: Main Hoist Cable (600 ft of 3/4" 6x37)</t>
  </si>
  <si>
    <t>DELETE: Aux Hoist Cable (607 ft of 3/4" Flex-X 35)</t>
  </si>
  <si>
    <t>SUBSTITUTE: Optional cable on main hoist (607' of 3/4" Flex-X 35)</t>
  </si>
  <si>
    <t>ADD: Air Conditioner on Superstructure</t>
  </si>
  <si>
    <t>Counterweight (See Note 1)</t>
  </si>
  <si>
    <t>Counterweight UNIT</t>
  </si>
  <si>
    <t>4000# Cwt (top piece with pins), Pinned on S/S</t>
  </si>
  <si>
    <t xml:space="preserve">4000# Cwt (with pins), Pinned on S/S or stowed on carrier </t>
  </si>
  <si>
    <t>6000# Cwt (with pins), Pinned on S/S or stowed on carrier</t>
  </si>
  <si>
    <t xml:space="preserve">Carrier </t>
  </si>
  <si>
    <t>CARRIER UNIT</t>
  </si>
  <si>
    <t>Standard Carrier Assy with Goodyear Tires</t>
  </si>
  <si>
    <t>ADD: Driver</t>
  </si>
  <si>
    <t>ADD: Cribbing (in rear troughs)</t>
  </si>
  <si>
    <t>ADD: Air Conditioning on Carrier</t>
  </si>
  <si>
    <t>ADD: Tow Rope</t>
  </si>
  <si>
    <t>10 T Headache Ball, in Stowage Tray</t>
  </si>
  <si>
    <t>ADD: Rigging</t>
  </si>
  <si>
    <t>SUBSTITUTE: Aluminum Outrigger Floats</t>
  </si>
  <si>
    <t>SUBSTITUTE: Michelin Tires</t>
  </si>
  <si>
    <t>SUBSTITUTE: Bridgestone Tires</t>
  </si>
  <si>
    <t xml:space="preserve">ADD: Rear Mounted Pintle Hook </t>
  </si>
  <si>
    <t>Dolly: Nelson Mfg Company - model CBC-20ST w/aluminum wheels</t>
  </si>
  <si>
    <t>4000# Cwt (top piece with pins), Stowed on Dolly</t>
  </si>
  <si>
    <t>4000# Cwt (with pins), Stowed on Dolly</t>
  </si>
  <si>
    <t>6000# Cwt (with pins), Stowed on Dolly</t>
  </si>
  <si>
    <t>75 Ton Hookblock, Stowed on Dolly</t>
  </si>
  <si>
    <t>40 Ton Hookblock, Stowed on Dolly</t>
  </si>
  <si>
    <t>DOLLY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</si>
</sst>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0.0"/>
    <numFmt numFmtId="169" formatCode="#,##0.0"/>
    <numFmt numFmtId="170" formatCode="#,##0.0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  <numFmt numFmtId="177" formatCode="0.0E+00"/>
    <numFmt numFmtId="178" formatCode="0E+00"/>
    <numFmt numFmtId="179" formatCode="0.0000E+00"/>
    <numFmt numFmtId="180" formatCode="0.000E+00"/>
    <numFmt numFmtId="181" formatCode="0_);\(0\)"/>
    <numFmt numFmtId="182" formatCode="0.000_)"/>
    <numFmt numFmtId="183" formatCode="0.0_);\(0.0\)"/>
    <numFmt numFmtId="184" formatCode="_(&quot;$&quot;* #,##0.000_);_(&quot;$&quot;* \(#,##0.000\);_(&quot;$&quot;* &quot;-&quot;???_);_(@_)"/>
    <numFmt numFmtId="185" formatCode="[$-409]dddd\,\ mmmm\ dd\,\ yyyy"/>
    <numFmt numFmtId="186" formatCode="[$-409]d\-mmm\-yy;@"/>
    <numFmt numFmtId="187" formatCode="0.0000_)"/>
    <numFmt numFmtId="188" formatCode="0.00000_)"/>
    <numFmt numFmtId="189" formatCode="0.000000_)"/>
    <numFmt numFmtId="190" formatCode="0.0000000_)"/>
    <numFmt numFmtId="191" formatCode="0.00000000_)"/>
    <numFmt numFmtId="192" formatCode="_(* #,##0.0_);_(* \(#,##0.0\);_(* &quot;-&quot;??_);_(@_)"/>
    <numFmt numFmtId="193" formatCode="_(* #,##0_);_(* \(#,##0\);_(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&quot;$&quot;#,##0.00"/>
    <numFmt numFmtId="197" formatCode="B2d\-mmm"/>
    <numFmt numFmtId="198" formatCode="B2mmm\-yy"/>
    <numFmt numFmtId="199" formatCode="0.00_);[Red]\(0.00\)"/>
    <numFmt numFmtId="200" formatCode="0.0000_);[Red]\(0.0000\)"/>
    <numFmt numFmtId="201" formatCode="&quot;$&quot;#,##0.0_);[Red]\(&quot;$&quot;#,##0.0\)"/>
    <numFmt numFmtId="202" formatCode="#,##0.0_);[Red]\(#,##0.0\)"/>
    <numFmt numFmtId="203" formatCode="0.0%"/>
    <numFmt numFmtId="204" formatCode="mm/dd/yy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9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P-UNVRS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indexed="12"/>
      <name val="HP-UNVR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i/>
      <sz val="18"/>
      <name val="Arial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3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2">
    <xf numFmtId="165" fontId="0" fillId="0" borderId="0" xfId="0" applyAlignment="1">
      <alignment/>
    </xf>
    <xf numFmtId="165" fontId="4" fillId="0" borderId="1" xfId="0" applyFont="1" applyFill="1" applyBorder="1" applyAlignment="1">
      <alignment/>
    </xf>
    <xf numFmtId="165" fontId="4" fillId="0" borderId="2" xfId="0" applyFont="1" applyFill="1" applyBorder="1" applyAlignment="1">
      <alignment horizontal="left"/>
    </xf>
    <xf numFmtId="165" fontId="4" fillId="0" borderId="2" xfId="0" applyFont="1" applyFill="1" applyBorder="1" applyAlignment="1">
      <alignment/>
    </xf>
    <xf numFmtId="15" fontId="4" fillId="0" borderId="2" xfId="0" applyNumberFormat="1" applyFont="1" applyFill="1" applyBorder="1" applyAlignment="1">
      <alignment horizontal="right"/>
    </xf>
    <xf numFmtId="165" fontId="4" fillId="0" borderId="3" xfId="0" applyFont="1" applyFill="1" applyBorder="1" applyAlignment="1">
      <alignment/>
    </xf>
    <xf numFmtId="165" fontId="4" fillId="2" borderId="0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0" xfId="0" applyFont="1" applyFill="1" applyBorder="1" applyAlignment="1">
      <alignment/>
    </xf>
    <xf numFmtId="165" fontId="4" fillId="2" borderId="0" xfId="0" applyFont="1" applyFill="1" applyAlignment="1">
      <alignment/>
    </xf>
    <xf numFmtId="165" fontId="4" fillId="0" borderId="4" xfId="0" applyFont="1" applyFill="1" applyBorder="1" applyAlignment="1">
      <alignment/>
    </xf>
    <xf numFmtId="165" fontId="4" fillId="0" borderId="0" xfId="0" applyFont="1" applyFill="1" applyBorder="1" applyAlignment="1">
      <alignment horizontal="left"/>
    </xf>
    <xf numFmtId="165" fontId="4" fillId="0" borderId="0" xfId="0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165" fontId="4" fillId="0" borderId="5" xfId="0" applyFont="1" applyFill="1" applyBorder="1" applyAlignment="1">
      <alignment/>
    </xf>
    <xf numFmtId="165" fontId="4" fillId="0" borderId="6" xfId="0" applyFont="1" applyFill="1" applyBorder="1" applyAlignment="1">
      <alignment vertical="top"/>
    </xf>
    <xf numFmtId="165" fontId="4" fillId="0" borderId="7" xfId="0" applyFont="1" applyFill="1" applyBorder="1" applyAlignment="1">
      <alignment horizontal="left" vertical="top"/>
    </xf>
    <xf numFmtId="165" fontId="4" fillId="0" borderId="7" xfId="0" applyFont="1" applyFill="1" applyBorder="1" applyAlignment="1">
      <alignment vertical="top"/>
    </xf>
    <xf numFmtId="165" fontId="4" fillId="0" borderId="7" xfId="0" applyFont="1" applyFill="1" applyBorder="1" applyAlignment="1">
      <alignment horizontal="right" vertical="top"/>
    </xf>
    <xf numFmtId="15" fontId="4" fillId="0" borderId="7" xfId="0" applyNumberFormat="1" applyFont="1" applyFill="1" applyBorder="1" applyAlignment="1" applyProtection="1">
      <alignment horizontal="right"/>
      <protection locked="0"/>
    </xf>
    <xf numFmtId="165" fontId="4" fillId="0" borderId="8" xfId="0" applyFont="1" applyFill="1" applyBorder="1" applyAlignment="1">
      <alignment vertical="top"/>
    </xf>
    <xf numFmtId="165" fontId="4" fillId="2" borderId="0" xfId="0" applyFont="1" applyFill="1" applyBorder="1" applyAlignment="1">
      <alignment vertical="top"/>
    </xf>
    <xf numFmtId="165" fontId="4" fillId="0" borderId="0" xfId="0" applyFont="1" applyFill="1" applyBorder="1" applyAlignment="1">
      <alignment vertical="top"/>
    </xf>
    <xf numFmtId="165" fontId="4" fillId="0" borderId="0" xfId="0" applyFont="1" applyBorder="1" applyAlignment="1">
      <alignment/>
    </xf>
    <xf numFmtId="164" fontId="4" fillId="0" borderId="4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9" xfId="0" applyFont="1" applyFill="1" applyBorder="1" applyAlignment="1">
      <alignment horizontal="left"/>
    </xf>
    <xf numFmtId="165" fontId="4" fillId="0" borderId="10" xfId="0" applyFont="1" applyFill="1" applyBorder="1" applyAlignment="1">
      <alignment/>
    </xf>
    <xf numFmtId="165" fontId="4" fillId="0" borderId="11" xfId="0" applyFont="1" applyFill="1" applyBorder="1" applyAlignment="1">
      <alignment vertical="top"/>
    </xf>
    <xf numFmtId="165" fontId="1" fillId="0" borderId="0" xfId="0" applyFont="1" applyFill="1" applyBorder="1" applyAlignment="1">
      <alignment/>
    </xf>
    <xf numFmtId="165" fontId="4" fillId="0" borderId="12" xfId="0" applyFont="1" applyFill="1" applyBorder="1" applyAlignment="1">
      <alignment horizontal="left"/>
    </xf>
    <xf numFmtId="165" fontId="1" fillId="0" borderId="13" xfId="0" applyFont="1" applyFill="1" applyBorder="1" applyAlignment="1">
      <alignment vertical="center"/>
    </xf>
    <xf numFmtId="165" fontId="4" fillId="0" borderId="13" xfId="0" applyFont="1" applyFill="1" applyBorder="1" applyAlignment="1">
      <alignment/>
    </xf>
    <xf numFmtId="165" fontId="4" fillId="0" borderId="0" xfId="0" applyFont="1" applyAlignment="1">
      <alignment/>
    </xf>
    <xf numFmtId="165" fontId="4" fillId="0" borderId="12" xfId="0" applyFont="1" applyFill="1" applyBorder="1" applyAlignment="1">
      <alignment/>
    </xf>
    <xf numFmtId="165" fontId="4" fillId="0" borderId="14" xfId="0" applyFont="1" applyFill="1" applyBorder="1" applyAlignment="1">
      <alignment/>
    </xf>
    <xf numFmtId="165" fontId="4" fillId="0" borderId="15" xfId="0" applyFont="1" applyFill="1" applyBorder="1" applyAlignment="1">
      <alignment/>
    </xf>
    <xf numFmtId="165" fontId="4" fillId="0" borderId="16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6" fillId="0" borderId="0" xfId="0" applyFont="1" applyFill="1" applyBorder="1" applyAlignment="1">
      <alignment/>
    </xf>
    <xf numFmtId="165" fontId="2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 applyProtection="1">
      <alignment/>
      <protection/>
    </xf>
    <xf numFmtId="165" fontId="4" fillId="0" borderId="18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4" fillId="0" borderId="18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 horizontal="center"/>
    </xf>
    <xf numFmtId="37" fontId="4" fillId="0" borderId="19" xfId="0" applyNumberFormat="1" applyFont="1" applyFill="1" applyBorder="1" applyAlignment="1" applyProtection="1">
      <alignment/>
      <protection/>
    </xf>
    <xf numFmtId="166" fontId="4" fillId="0" borderId="5" xfId="0" applyNumberFormat="1" applyFont="1" applyFill="1" applyBorder="1" applyAlignment="1" applyProtection="1">
      <alignment/>
      <protection/>
    </xf>
    <xf numFmtId="166" fontId="4" fillId="0" borderId="20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5" fontId="4" fillId="0" borderId="7" xfId="0" applyFont="1" applyFill="1" applyBorder="1" applyAlignment="1">
      <alignment/>
    </xf>
    <xf numFmtId="166" fontId="4" fillId="0" borderId="25" xfId="0" applyNumberFormat="1" applyFont="1" applyFill="1" applyBorder="1" applyAlignment="1" applyProtection="1">
      <alignment horizontal="center"/>
      <protection/>
    </xf>
    <xf numFmtId="166" fontId="4" fillId="0" borderId="26" xfId="0" applyNumberFormat="1" applyFont="1" applyFill="1" applyBorder="1" applyAlignment="1" applyProtection="1">
      <alignment horizontal="center"/>
      <protection/>
    </xf>
    <xf numFmtId="164" fontId="7" fillId="0" borderId="4" xfId="0" applyNumberFormat="1" applyFont="1" applyFill="1" applyBorder="1" applyAlignment="1" applyProtection="1">
      <alignment horizontal="left"/>
      <protection/>
    </xf>
    <xf numFmtId="165" fontId="7" fillId="0" borderId="0" xfId="0" applyFont="1" applyFill="1" applyBorder="1" applyAlignment="1">
      <alignment horizontal="center"/>
    </xf>
    <xf numFmtId="165" fontId="7" fillId="0" borderId="27" xfId="0" applyFont="1" applyFill="1" applyBorder="1" applyAlignment="1">
      <alignment horizontal="left"/>
    </xf>
    <xf numFmtId="165" fontId="7" fillId="0" borderId="28" xfId="0" applyFont="1" applyFill="1" applyBorder="1" applyAlignment="1">
      <alignment horizontal="left"/>
    </xf>
    <xf numFmtId="165" fontId="7" fillId="0" borderId="29" xfId="0" applyNumberFormat="1" applyFont="1" applyFill="1" applyBorder="1" applyAlignment="1" applyProtection="1">
      <alignment horizontal="center"/>
      <protection/>
    </xf>
    <xf numFmtId="164" fontId="7" fillId="0" borderId="29" xfId="0" applyNumberFormat="1" applyFont="1" applyFill="1" applyBorder="1" applyAlignment="1" applyProtection="1">
      <alignment horizontal="center"/>
      <protection/>
    </xf>
    <xf numFmtId="165" fontId="7" fillId="0" borderId="5" xfId="0" applyFont="1" applyFill="1" applyBorder="1" applyAlignment="1">
      <alignment/>
    </xf>
    <xf numFmtId="165" fontId="7" fillId="2" borderId="0" xfId="0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164" fontId="7" fillId="0" borderId="18" xfId="0" applyNumberFormat="1" applyFont="1" applyFill="1" applyBorder="1" applyAlignment="1">
      <alignment/>
    </xf>
    <xf numFmtId="165" fontId="7" fillId="0" borderId="0" xfId="0" applyFont="1" applyFill="1" applyAlignment="1">
      <alignment/>
    </xf>
    <xf numFmtId="165" fontId="7" fillId="2" borderId="0" xfId="0" applyFont="1" applyFill="1" applyAlignment="1">
      <alignment/>
    </xf>
    <xf numFmtId="165" fontId="7" fillId="0" borderId="30" xfId="0" applyFont="1" applyFill="1" applyBorder="1" applyAlignment="1">
      <alignment horizontal="left"/>
    </xf>
    <xf numFmtId="165" fontId="7" fillId="0" borderId="31" xfId="0" applyFont="1" applyFill="1" applyBorder="1" applyAlignment="1">
      <alignment horizontal="left"/>
    </xf>
    <xf numFmtId="164" fontId="7" fillId="0" borderId="19" xfId="0" applyNumberFormat="1" applyFont="1" applyFill="1" applyBorder="1" applyAlignment="1" applyProtection="1">
      <alignment horizont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165" fontId="7" fillId="0" borderId="19" xfId="0" applyNumberFormat="1" applyFont="1" applyFill="1" applyBorder="1" applyAlignment="1" applyProtection="1">
      <alignment horizontal="center"/>
      <protection/>
    </xf>
    <xf numFmtId="164" fontId="4" fillId="0" borderId="4" xfId="0" applyNumberFormat="1" applyFont="1" applyFill="1" applyBorder="1" applyAlignment="1" applyProtection="1">
      <alignment horizontal="left"/>
      <protection/>
    </xf>
    <xf numFmtId="165" fontId="4" fillId="0" borderId="30" xfId="0" applyFont="1" applyFill="1" applyBorder="1" applyAlignment="1">
      <alignment horizontal="left"/>
    </xf>
    <xf numFmtId="165" fontId="4" fillId="0" borderId="31" xfId="0" applyFont="1" applyFill="1" applyBorder="1" applyAlignment="1">
      <alignment horizontal="left"/>
    </xf>
    <xf numFmtId="165" fontId="4" fillId="0" borderId="29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 locked="0"/>
    </xf>
    <xf numFmtId="164" fontId="4" fillId="0" borderId="18" xfId="0" applyNumberFormat="1" applyFont="1" applyFill="1" applyBorder="1" applyAlignment="1">
      <alignment/>
    </xf>
    <xf numFmtId="165" fontId="1" fillId="0" borderId="32" xfId="0" applyFont="1" applyFill="1" applyBorder="1" applyAlignment="1">
      <alignment horizontal="right"/>
    </xf>
    <xf numFmtId="165" fontId="1" fillId="0" borderId="33" xfId="0" applyFont="1" applyFill="1" applyBorder="1" applyAlignment="1">
      <alignment horizontal="right"/>
    </xf>
    <xf numFmtId="165" fontId="1" fillId="0" borderId="34" xfId="0" applyNumberFormat="1" applyFont="1" applyFill="1" applyBorder="1" applyAlignment="1" applyProtection="1">
      <alignment horizontal="center"/>
      <protection/>
    </xf>
    <xf numFmtId="164" fontId="1" fillId="0" borderId="34" xfId="0" applyNumberFormat="1" applyFont="1" applyFill="1" applyBorder="1" applyAlignment="1" applyProtection="1">
      <alignment horizontal="center"/>
      <protection/>
    </xf>
    <xf numFmtId="164" fontId="1" fillId="0" borderId="35" xfId="0" applyNumberFormat="1" applyFont="1" applyFill="1" applyBorder="1" applyAlignment="1" applyProtection="1">
      <alignment/>
      <protection/>
    </xf>
    <xf numFmtId="165" fontId="4" fillId="0" borderId="36" xfId="0" applyNumberFormat="1" applyFont="1" applyFill="1" applyBorder="1" applyAlignment="1" applyProtection="1">
      <alignment/>
      <protection/>
    </xf>
    <xf numFmtId="164" fontId="4" fillId="0" borderId="3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>
      <alignment/>
    </xf>
    <xf numFmtId="165" fontId="4" fillId="3" borderId="37" xfId="0" applyFont="1" applyFill="1" applyBorder="1" applyAlignment="1">
      <alignment horizontal="center"/>
    </xf>
    <xf numFmtId="165" fontId="4" fillId="3" borderId="38" xfId="0" applyFont="1" applyFill="1" applyBorder="1" applyAlignment="1">
      <alignment horizontal="center"/>
    </xf>
    <xf numFmtId="165" fontId="4" fillId="3" borderId="39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7" fillId="0" borderId="40" xfId="0" applyFont="1" applyFill="1" applyBorder="1" applyAlignment="1">
      <alignment horizontal="left"/>
    </xf>
    <xf numFmtId="165" fontId="7" fillId="0" borderId="41" xfId="0" applyFont="1" applyFill="1" applyBorder="1" applyAlignment="1">
      <alignment horizontal="left"/>
    </xf>
    <xf numFmtId="165" fontId="7" fillId="0" borderId="1" xfId="0" applyFont="1" applyFill="1" applyBorder="1" applyAlignment="1">
      <alignment horizontal="left"/>
    </xf>
    <xf numFmtId="165" fontId="7" fillId="0" borderId="3" xfId="0" applyFont="1" applyFill="1" applyBorder="1" applyAlignment="1">
      <alignment horizontal="left"/>
    </xf>
    <xf numFmtId="165" fontId="7" fillId="0" borderId="18" xfId="0" applyFont="1" applyFill="1" applyBorder="1" applyAlignment="1">
      <alignment horizontal="left"/>
    </xf>
    <xf numFmtId="165" fontId="7" fillId="0" borderId="39" xfId="0" applyFont="1" applyFill="1" applyBorder="1" applyAlignment="1">
      <alignment horizontal="left"/>
    </xf>
    <xf numFmtId="165" fontId="7" fillId="0" borderId="42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165" fontId="7" fillId="0" borderId="2" xfId="0" applyFont="1" applyFill="1" applyBorder="1" applyAlignment="1">
      <alignment horizontal="left"/>
    </xf>
    <xf numFmtId="165" fontId="7" fillId="0" borderId="24" xfId="0" applyNumberFormat="1" applyFont="1" applyFill="1" applyBorder="1" applyAlignment="1" applyProtection="1">
      <alignment horizontal="center"/>
      <protection/>
    </xf>
    <xf numFmtId="164" fontId="7" fillId="0" borderId="24" xfId="0" applyNumberFormat="1" applyFont="1" applyFill="1" applyBorder="1" applyAlignment="1" applyProtection="1">
      <alignment horizontal="center"/>
      <protection/>
    </xf>
    <xf numFmtId="165" fontId="7" fillId="0" borderId="18" xfId="0" applyNumberFormat="1" applyFont="1" applyFill="1" applyBorder="1" applyAlignment="1" applyProtection="1">
      <alignment horizontal="center"/>
      <protection/>
    </xf>
    <xf numFmtId="164" fontId="7" fillId="0" borderId="18" xfId="0" applyNumberFormat="1" applyFont="1" applyFill="1" applyBorder="1" applyAlignment="1" applyProtection="1">
      <alignment horizontal="center"/>
      <protection/>
    </xf>
    <xf numFmtId="165" fontId="7" fillId="0" borderId="4" xfId="0" applyFont="1" applyFill="1" applyBorder="1" applyAlignment="1">
      <alignment/>
    </xf>
    <xf numFmtId="165" fontId="4" fillId="0" borderId="22" xfId="0" applyFont="1" applyFill="1" applyBorder="1" applyAlignment="1">
      <alignment/>
    </xf>
    <xf numFmtId="165" fontId="4" fillId="0" borderId="43" xfId="0" applyNumberFormat="1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 applyProtection="1">
      <alignment/>
      <protection/>
    </xf>
    <xf numFmtId="165" fontId="4" fillId="0" borderId="27" xfId="0" applyFont="1" applyFill="1" applyBorder="1" applyAlignment="1">
      <alignment horizontal="left"/>
    </xf>
    <xf numFmtId="165" fontId="4" fillId="0" borderId="28" xfId="0" applyFont="1" applyFill="1" applyBorder="1" applyAlignment="1">
      <alignment horizontal="left"/>
    </xf>
    <xf numFmtId="165" fontId="4" fillId="0" borderId="19" xfId="0" applyNumberFormat="1" applyFont="1" applyFill="1" applyBorder="1" applyAlignment="1" applyProtection="1">
      <alignment horizontal="center"/>
      <protection/>
    </xf>
    <xf numFmtId="164" fontId="4" fillId="0" borderId="19" xfId="0" applyNumberFormat="1" applyFont="1" applyFill="1" applyBorder="1" applyAlignment="1" applyProtection="1">
      <alignment horizontal="center"/>
      <protection/>
    </xf>
    <xf numFmtId="165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5" fontId="4" fillId="0" borderId="6" xfId="0" applyFont="1" applyFill="1" applyBorder="1" applyAlignment="1">
      <alignment/>
    </xf>
    <xf numFmtId="165" fontId="4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 applyProtection="1">
      <alignment/>
      <protection/>
    </xf>
    <xf numFmtId="165" fontId="4" fillId="0" borderId="8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2" borderId="0" xfId="0" applyFont="1" applyFill="1" applyBorder="1" applyAlignment="1">
      <alignment horizontal="center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0" xfId="0" applyFont="1" applyFill="1" applyAlignment="1">
      <alignment horizontal="left"/>
    </xf>
    <xf numFmtId="165" fontId="4" fillId="0" borderId="18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8" xfId="0" applyFont="1" applyFill="1" applyBorder="1" applyAlignment="1">
      <alignment horizontal="left"/>
    </xf>
    <xf numFmtId="165" fontId="1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0" fontId="4" fillId="0" borderId="0" xfId="29">
      <alignment/>
      <protection/>
    </xf>
    <xf numFmtId="0" fontId="4" fillId="0" borderId="44" xfId="29" applyFill="1" applyBorder="1">
      <alignment/>
      <protection/>
    </xf>
    <xf numFmtId="2" fontId="4" fillId="0" borderId="44" xfId="29" applyNumberFormat="1" applyFill="1" applyBorder="1">
      <alignment/>
      <protection/>
    </xf>
    <xf numFmtId="0" fontId="4" fillId="0" borderId="45" xfId="29" applyFill="1" applyBorder="1">
      <alignment/>
      <protection/>
    </xf>
    <xf numFmtId="0" fontId="4" fillId="4" borderId="0" xfId="29" applyFill="1" applyBorder="1" applyAlignment="1">
      <alignment horizontal="center"/>
      <protection/>
    </xf>
    <xf numFmtId="1" fontId="4" fillId="4" borderId="44" xfId="29" applyNumberFormat="1" applyFill="1" applyBorder="1">
      <alignment/>
      <protection/>
    </xf>
    <xf numFmtId="0" fontId="4" fillId="4" borderId="0" xfId="29" applyFill="1">
      <alignment/>
      <protection/>
    </xf>
    <xf numFmtId="0" fontId="4" fillId="0" borderId="46" xfId="29" applyFill="1" applyBorder="1">
      <alignment/>
      <protection/>
    </xf>
    <xf numFmtId="0" fontId="4" fillId="0" borderId="0" xfId="29" applyFill="1" applyBorder="1" applyProtection="1">
      <alignment/>
      <protection locked="0"/>
    </xf>
    <xf numFmtId="0" fontId="4" fillId="0" borderId="0" xfId="29" applyFill="1" applyBorder="1">
      <alignment/>
      <protection/>
    </xf>
    <xf numFmtId="2" fontId="4" fillId="0" borderId="0" xfId="29" applyNumberFormat="1" applyFill="1" applyBorder="1">
      <alignment/>
      <protection/>
    </xf>
    <xf numFmtId="15" fontId="4" fillId="0" borderId="0" xfId="29" applyNumberFormat="1" applyFill="1" applyBorder="1" applyAlignment="1" applyProtection="1">
      <alignment horizontal="right"/>
      <protection/>
    </xf>
    <xf numFmtId="15" fontId="4" fillId="0" borderId="47" xfId="29" applyNumberFormat="1" applyFill="1" applyBorder="1" applyAlignment="1">
      <alignment horizontal="right"/>
      <protection/>
    </xf>
    <xf numFmtId="0" fontId="4" fillId="4" borderId="0" xfId="29" applyFill="1" applyBorder="1">
      <alignment/>
      <protection/>
    </xf>
    <xf numFmtId="0" fontId="2" fillId="4" borderId="0" xfId="29" applyFont="1" applyFill="1">
      <alignment/>
      <protection/>
    </xf>
    <xf numFmtId="0" fontId="4" fillId="0" borderId="48" xfId="29" applyFill="1" applyBorder="1">
      <alignment/>
      <protection/>
    </xf>
    <xf numFmtId="0" fontId="4" fillId="0" borderId="7" xfId="29" applyFill="1" applyBorder="1">
      <alignment/>
      <protection/>
    </xf>
    <xf numFmtId="0" fontId="13" fillId="0" borderId="7" xfId="29" applyFont="1" applyFill="1" applyBorder="1">
      <alignment/>
      <protection/>
    </xf>
    <xf numFmtId="2" fontId="4" fillId="0" borderId="7" xfId="29" applyNumberFormat="1" applyFill="1" applyBorder="1">
      <alignment/>
      <protection/>
    </xf>
    <xf numFmtId="0" fontId="4" fillId="0" borderId="7" xfId="29" applyFill="1" applyBorder="1" applyAlignment="1" applyProtection="1">
      <alignment horizontal="right"/>
      <protection/>
    </xf>
    <xf numFmtId="0" fontId="4" fillId="0" borderId="49" xfId="29" applyFill="1" applyBorder="1" applyAlignment="1">
      <alignment horizontal="right"/>
      <protection/>
    </xf>
    <xf numFmtId="0" fontId="14" fillId="0" borderId="48" xfId="29" applyFont="1" applyFill="1" applyBorder="1" applyAlignment="1" applyProtection="1">
      <alignment horizontal="centerContinuous"/>
      <protection locked="0"/>
    </xf>
    <xf numFmtId="0" fontId="1" fillId="0" borderId="7" xfId="29" applyFont="1" applyFill="1" applyBorder="1" applyAlignment="1">
      <alignment horizontal="centerContinuous"/>
      <protection/>
    </xf>
    <xf numFmtId="0" fontId="14" fillId="0" borderId="7" xfId="29" applyFont="1" applyFill="1" applyBorder="1" applyAlignment="1">
      <alignment horizontal="centerContinuous"/>
      <protection/>
    </xf>
    <xf numFmtId="2" fontId="14" fillId="0" borderId="7" xfId="29" applyNumberFormat="1" applyFont="1" applyFill="1" applyBorder="1" applyAlignment="1">
      <alignment horizontal="centerContinuous"/>
      <protection/>
    </xf>
    <xf numFmtId="0" fontId="1" fillId="0" borderId="49" xfId="29" applyFont="1" applyFill="1" applyBorder="1" applyAlignment="1">
      <alignment horizontal="centerContinuous"/>
      <protection/>
    </xf>
    <xf numFmtId="0" fontId="14" fillId="4" borderId="0" xfId="29" applyFont="1" applyFill="1" applyBorder="1" applyAlignment="1">
      <alignment horizontal="centerContinuous"/>
      <protection/>
    </xf>
    <xf numFmtId="0" fontId="4" fillId="4" borderId="0" xfId="29" applyFill="1" applyAlignment="1">
      <alignment horizontal="centerContinuous"/>
      <protection/>
    </xf>
    <xf numFmtId="0" fontId="3" fillId="4" borderId="0" xfId="29" applyFont="1" applyFill="1" applyAlignment="1">
      <alignment horizontal="centerContinuous"/>
      <protection/>
    </xf>
    <xf numFmtId="0" fontId="1" fillId="4" borderId="0" xfId="29" applyFont="1" applyFill="1" applyAlignment="1">
      <alignment horizontal="centerContinuous"/>
      <protection/>
    </xf>
    <xf numFmtId="0" fontId="1" fillId="0" borderId="0" xfId="29" applyFont="1" applyFill="1" applyBorder="1" applyAlignment="1">
      <alignment horizontal="right"/>
      <protection/>
    </xf>
    <xf numFmtId="0" fontId="4" fillId="0" borderId="47" xfId="29" applyFill="1" applyBorder="1">
      <alignment/>
      <protection/>
    </xf>
    <xf numFmtId="1" fontId="4" fillId="4" borderId="0" xfId="29" applyNumberFormat="1" applyFill="1">
      <alignment/>
      <protection/>
    </xf>
    <xf numFmtId="0" fontId="1" fillId="0" borderId="46" xfId="29" applyFont="1" applyFill="1" applyBorder="1">
      <alignment/>
      <protection/>
    </xf>
    <xf numFmtId="0" fontId="1" fillId="0" borderId="0" xfId="29" applyFont="1" applyFill="1" applyBorder="1">
      <alignment/>
      <protection/>
    </xf>
    <xf numFmtId="0" fontId="4" fillId="0" borderId="1" xfId="29" applyFill="1" applyBorder="1">
      <alignment/>
      <protection/>
    </xf>
    <xf numFmtId="0" fontId="1" fillId="0" borderId="2" xfId="29" applyFont="1" applyFill="1" applyBorder="1">
      <alignment/>
      <protection/>
    </xf>
    <xf numFmtId="0" fontId="4" fillId="0" borderId="2" xfId="29" applyFill="1" applyBorder="1" applyAlignment="1">
      <alignment horizontal="right"/>
      <protection/>
    </xf>
    <xf numFmtId="2" fontId="4" fillId="5" borderId="18" xfId="29" applyNumberFormat="1" applyFill="1" applyBorder="1" applyProtection="1">
      <alignment/>
      <protection locked="0"/>
    </xf>
    <xf numFmtId="2" fontId="4" fillId="0" borderId="3" xfId="29" applyNumberFormat="1" applyFill="1" applyBorder="1">
      <alignment/>
      <protection/>
    </xf>
    <xf numFmtId="0" fontId="1" fillId="0" borderId="47" xfId="29" applyFont="1" applyFill="1" applyBorder="1">
      <alignment/>
      <protection/>
    </xf>
    <xf numFmtId="0" fontId="1" fillId="4" borderId="0" xfId="29" applyFont="1" applyFill="1" applyBorder="1" applyAlignment="1">
      <alignment horizontal="center"/>
      <protection/>
    </xf>
    <xf numFmtId="1" fontId="3" fillId="4" borderId="0" xfId="29" applyNumberFormat="1" applyFont="1" applyFill="1" applyBorder="1">
      <alignment/>
      <protection/>
    </xf>
    <xf numFmtId="1" fontId="2" fillId="4" borderId="0" xfId="29" applyNumberFormat="1" applyFont="1" applyFill="1">
      <alignment/>
      <protection/>
    </xf>
    <xf numFmtId="0" fontId="1" fillId="4" borderId="0" xfId="29" applyFont="1" applyFill="1">
      <alignment/>
      <protection/>
    </xf>
    <xf numFmtId="0" fontId="4" fillId="0" borderId="4" xfId="29" applyFill="1" applyBorder="1">
      <alignment/>
      <protection/>
    </xf>
    <xf numFmtId="0" fontId="4" fillId="0" borderId="0" xfId="29" applyFill="1" applyBorder="1" applyAlignment="1">
      <alignment horizontal="right"/>
      <protection/>
    </xf>
    <xf numFmtId="0" fontId="4" fillId="0" borderId="5" xfId="29" applyFill="1" applyBorder="1">
      <alignment/>
      <protection/>
    </xf>
    <xf numFmtId="1" fontId="2" fillId="4" borderId="0" xfId="29" applyNumberFormat="1" applyFont="1" applyFill="1" applyBorder="1">
      <alignment/>
      <protection/>
    </xf>
    <xf numFmtId="0" fontId="4" fillId="5" borderId="18" xfId="29" applyFill="1" applyBorder="1" applyProtection="1">
      <alignment/>
      <protection locked="0"/>
    </xf>
    <xf numFmtId="1" fontId="15" fillId="4" borderId="0" xfId="29" applyNumberFormat="1" applyFont="1" applyFill="1" applyBorder="1" applyAlignment="1">
      <alignment/>
      <protection/>
    </xf>
    <xf numFmtId="1" fontId="2" fillId="4" borderId="0" xfId="29" applyNumberFormat="1" applyFont="1" applyFill="1" applyBorder="1" applyAlignment="1">
      <alignment/>
      <protection/>
    </xf>
    <xf numFmtId="0" fontId="4" fillId="0" borderId="0" xfId="29" applyFill="1">
      <alignment/>
      <protection/>
    </xf>
    <xf numFmtId="0" fontId="4" fillId="5" borderId="18" xfId="29" applyFill="1" applyBorder="1">
      <alignment/>
      <protection/>
    </xf>
    <xf numFmtId="2" fontId="4" fillId="0" borderId="0" xfId="29" applyNumberFormat="1" applyFill="1" applyBorder="1" applyAlignment="1">
      <alignment horizontal="right"/>
      <protection/>
    </xf>
    <xf numFmtId="2" fontId="4" fillId="0" borderId="18" xfId="29" applyNumberFormat="1" applyFill="1" applyBorder="1" applyProtection="1">
      <alignment/>
      <protection/>
    </xf>
    <xf numFmtId="0" fontId="4" fillId="0" borderId="6" xfId="29" applyFill="1" applyBorder="1">
      <alignment/>
      <protection/>
    </xf>
    <xf numFmtId="0" fontId="4" fillId="0" borderId="7" xfId="29" applyFill="1" applyBorder="1" applyAlignment="1">
      <alignment horizontal="right"/>
      <protection/>
    </xf>
    <xf numFmtId="2" fontId="4" fillId="0" borderId="18" xfId="29" applyNumberFormat="1" applyFill="1" applyBorder="1" applyProtection="1">
      <alignment/>
      <protection locked="0"/>
    </xf>
    <xf numFmtId="0" fontId="4" fillId="0" borderId="8" xfId="29" applyFill="1" applyBorder="1">
      <alignment/>
      <protection/>
    </xf>
    <xf numFmtId="0" fontId="4" fillId="0" borderId="0" xfId="29" applyFill="1" applyBorder="1" applyAlignment="1">
      <alignment horizontal="center"/>
      <protection/>
    </xf>
    <xf numFmtId="1" fontId="4" fillId="0" borderId="0" xfId="29" applyNumberFormat="1" applyFill="1" applyBorder="1">
      <alignment/>
      <protection/>
    </xf>
    <xf numFmtId="1" fontId="4" fillId="0" borderId="0" xfId="29" applyNumberFormat="1" applyFill="1">
      <alignment/>
      <protection/>
    </xf>
    <xf numFmtId="1" fontId="1" fillId="0" borderId="0" xfId="29" applyNumberFormat="1" applyFont="1" applyFill="1" applyBorder="1">
      <alignment/>
      <protection/>
    </xf>
    <xf numFmtId="2" fontId="4" fillId="0" borderId="18" xfId="29" applyNumberFormat="1" applyFill="1" applyBorder="1">
      <alignment/>
      <protection/>
    </xf>
    <xf numFmtId="0" fontId="4" fillId="0" borderId="18" xfId="29" applyFill="1" applyBorder="1" applyAlignment="1">
      <alignment horizontal="center"/>
      <protection/>
    </xf>
    <xf numFmtId="2" fontId="4" fillId="4" borderId="0" xfId="29" applyNumberFormat="1" applyFill="1" applyBorder="1">
      <alignment/>
      <protection/>
    </xf>
    <xf numFmtId="2" fontId="4" fillId="0" borderId="18" xfId="29" applyNumberFormat="1" applyFill="1" applyBorder="1" applyAlignment="1">
      <alignment horizontal="right"/>
      <protection/>
    </xf>
    <xf numFmtId="2" fontId="4" fillId="0" borderId="18" xfId="29" applyNumberFormat="1" applyFill="1" applyBorder="1" applyAlignment="1">
      <alignment/>
      <protection/>
    </xf>
    <xf numFmtId="168" fontId="4" fillId="0" borderId="0" xfId="29" applyNumberFormat="1" applyFill="1" applyBorder="1" applyAlignment="1">
      <alignment horizontal="left"/>
      <protection/>
    </xf>
    <xf numFmtId="0" fontId="4" fillId="0" borderId="0" xfId="29" applyFill="1" applyBorder="1" applyAlignment="1">
      <alignment horizontal="left"/>
      <protection/>
    </xf>
    <xf numFmtId="2" fontId="4" fillId="0" borderId="18" xfId="29" applyNumberFormat="1" applyFill="1" applyBorder="1" applyAlignment="1" applyProtection="1">
      <alignment horizontal="right"/>
      <protection locked="0"/>
    </xf>
    <xf numFmtId="2" fontId="4" fillId="0" borderId="37" xfId="29" applyNumberFormat="1" applyFill="1" applyBorder="1">
      <alignment/>
      <protection/>
    </xf>
    <xf numFmtId="2" fontId="4" fillId="0" borderId="39" xfId="29" applyNumberFormat="1" applyFill="1" applyBorder="1" applyAlignment="1">
      <alignment horizontal="left"/>
      <protection/>
    </xf>
    <xf numFmtId="1" fontId="4" fillId="0" borderId="0" xfId="29" applyNumberFormat="1" applyFill="1" applyBorder="1" applyAlignment="1">
      <alignment horizontal="right"/>
      <protection/>
    </xf>
    <xf numFmtId="168" fontId="4" fillId="0" borderId="18" xfId="29" applyNumberFormat="1" applyFill="1" applyBorder="1">
      <alignment/>
      <protection/>
    </xf>
    <xf numFmtId="168" fontId="4" fillId="0" borderId="0" xfId="29" applyNumberFormat="1" applyFill="1" applyBorder="1">
      <alignment/>
      <protection/>
    </xf>
    <xf numFmtId="168" fontId="4" fillId="0" borderId="18" xfId="29" applyNumberFormat="1" applyFill="1" applyBorder="1" applyProtection="1">
      <alignment/>
      <protection/>
    </xf>
    <xf numFmtId="168" fontId="4" fillId="0" borderId="18" xfId="29" applyNumberFormat="1" applyFill="1" applyBorder="1" applyAlignment="1" applyProtection="1">
      <alignment horizontal="right"/>
      <protection locked="0"/>
    </xf>
    <xf numFmtId="0" fontId="4" fillId="0" borderId="9" xfId="29" applyFill="1" applyBorder="1">
      <alignment/>
      <protection/>
    </xf>
    <xf numFmtId="0" fontId="4" fillId="0" borderId="10" xfId="29" applyFill="1" applyBorder="1" applyAlignment="1">
      <alignment horizontal="center"/>
      <protection/>
    </xf>
    <xf numFmtId="0" fontId="4" fillId="0" borderId="10" xfId="29" applyFill="1" applyBorder="1" applyAlignment="1">
      <alignment horizontal="right"/>
      <protection/>
    </xf>
    <xf numFmtId="2" fontId="4" fillId="0" borderId="10" xfId="29" applyNumberFormat="1" applyFill="1" applyBorder="1" applyAlignment="1">
      <alignment horizontal="center"/>
      <protection/>
    </xf>
    <xf numFmtId="0" fontId="4" fillId="0" borderId="11" xfId="29" applyFill="1" applyBorder="1">
      <alignment/>
      <protection/>
    </xf>
    <xf numFmtId="0" fontId="6" fillId="0" borderId="12" xfId="29" applyFont="1" applyFill="1" applyBorder="1">
      <alignment/>
      <protection/>
    </xf>
    <xf numFmtId="3" fontId="4" fillId="0" borderId="50" xfId="29" applyNumberFormat="1" applyFill="1" applyBorder="1">
      <alignment/>
      <protection/>
    </xf>
    <xf numFmtId="0" fontId="4" fillId="0" borderId="13" xfId="29" applyFill="1" applyBorder="1">
      <alignment/>
      <protection/>
    </xf>
    <xf numFmtId="1" fontId="4" fillId="4" borderId="0" xfId="29" applyNumberFormat="1" applyFill="1" applyBorder="1" applyAlignment="1">
      <alignment horizontal="center"/>
      <protection/>
    </xf>
    <xf numFmtId="1" fontId="4" fillId="0" borderId="0" xfId="29" applyNumberFormat="1" applyFill="1" applyBorder="1" applyAlignment="1">
      <alignment horizontal="center"/>
      <protection/>
    </xf>
    <xf numFmtId="0" fontId="4" fillId="0" borderId="12" xfId="29" applyFill="1" applyBorder="1">
      <alignment/>
      <protection/>
    </xf>
    <xf numFmtId="1" fontId="4" fillId="5" borderId="18" xfId="29" applyNumberFormat="1" applyFill="1" applyBorder="1" applyProtection="1">
      <alignment/>
      <protection locked="0"/>
    </xf>
    <xf numFmtId="1" fontId="4" fillId="0" borderId="18" xfId="29" applyNumberFormat="1" applyFill="1" applyBorder="1">
      <alignment/>
      <protection/>
    </xf>
    <xf numFmtId="0" fontId="4" fillId="0" borderId="14" xfId="29" applyFill="1" applyBorder="1">
      <alignment/>
      <protection/>
    </xf>
    <xf numFmtId="0" fontId="4" fillId="0" borderId="15" xfId="29" applyFill="1" applyBorder="1">
      <alignment/>
      <protection/>
    </xf>
    <xf numFmtId="2" fontId="4" fillId="0" borderId="15" xfId="29" applyNumberFormat="1" applyFill="1" applyBorder="1">
      <alignment/>
      <protection/>
    </xf>
    <xf numFmtId="0" fontId="4" fillId="0" borderId="16" xfId="29" applyFill="1" applyBorder="1">
      <alignment/>
      <protection/>
    </xf>
    <xf numFmtId="0" fontId="2" fillId="0" borderId="0" xfId="29" applyFont="1" applyFill="1" applyBorder="1">
      <alignment/>
      <protection/>
    </xf>
    <xf numFmtId="0" fontId="4" fillId="0" borderId="0" xfId="29" applyFont="1" applyFill="1">
      <alignment/>
      <protection/>
    </xf>
    <xf numFmtId="0" fontId="4" fillId="0" borderId="1" xfId="29" applyFill="1" applyBorder="1" applyAlignment="1">
      <alignment horizontal="centerContinuous"/>
      <protection/>
    </xf>
    <xf numFmtId="0" fontId="4" fillId="0" borderId="2" xfId="29" applyFill="1" applyBorder="1" applyAlignment="1">
      <alignment horizontal="centerContinuous"/>
      <protection/>
    </xf>
    <xf numFmtId="0" fontId="4" fillId="0" borderId="3" xfId="29" applyFill="1" applyBorder="1" applyAlignment="1">
      <alignment horizontal="centerContinuous"/>
      <protection/>
    </xf>
    <xf numFmtId="2" fontId="4" fillId="0" borderId="51" xfId="29" applyNumberFormat="1" applyFill="1" applyBorder="1" applyAlignment="1">
      <alignment horizontal="center"/>
      <protection/>
    </xf>
    <xf numFmtId="0" fontId="4" fillId="0" borderId="51" xfId="29" applyFill="1" applyBorder="1" applyAlignment="1">
      <alignment horizontal="center"/>
      <protection/>
    </xf>
    <xf numFmtId="0" fontId="4" fillId="0" borderId="52" xfId="29" applyFill="1" applyBorder="1" applyAlignment="1">
      <alignment horizontal="centerContinuous"/>
      <protection/>
    </xf>
    <xf numFmtId="0" fontId="4" fillId="0" borderId="53" xfId="29" applyFill="1" applyBorder="1" applyAlignment="1">
      <alignment horizontal="centerContinuous"/>
      <protection/>
    </xf>
    <xf numFmtId="1" fontId="4" fillId="0" borderId="51" xfId="29" applyNumberFormat="1" applyFill="1" applyBorder="1" applyAlignment="1">
      <alignment horizontal="center"/>
      <protection/>
    </xf>
    <xf numFmtId="1" fontId="4" fillId="0" borderId="54" xfId="29" applyNumberFormat="1" applyFill="1" applyBorder="1" applyAlignment="1">
      <alignment horizontal="center"/>
      <protection/>
    </xf>
    <xf numFmtId="0" fontId="4" fillId="0" borderId="37" xfId="29" applyFill="1" applyBorder="1" applyAlignment="1">
      <alignment/>
      <protection/>
    </xf>
    <xf numFmtId="0" fontId="4" fillId="0" borderId="38" xfId="29" applyFill="1" applyBorder="1">
      <alignment/>
      <protection/>
    </xf>
    <xf numFmtId="0" fontId="2" fillId="0" borderId="38" xfId="29" applyFont="1" applyFill="1" applyBorder="1" applyAlignment="1">
      <alignment horizontal="left"/>
      <protection/>
    </xf>
    <xf numFmtId="0" fontId="4" fillId="0" borderId="39" xfId="29" applyFill="1" applyBorder="1" applyAlignment="1">
      <alignment horizontal="center" wrapText="1"/>
      <protection/>
    </xf>
    <xf numFmtId="1" fontId="4" fillId="0" borderId="38" xfId="29" applyNumberFormat="1" applyFill="1" applyBorder="1">
      <alignment/>
      <protection/>
    </xf>
    <xf numFmtId="1" fontId="4" fillId="0" borderId="39" xfId="29" applyNumberFormat="1" applyFill="1" applyBorder="1">
      <alignment/>
      <protection/>
    </xf>
    <xf numFmtId="0" fontId="1" fillId="0" borderId="38" xfId="29" applyFont="1" applyFill="1" applyBorder="1" applyAlignment="1">
      <alignment horizontal="left"/>
      <protection/>
    </xf>
    <xf numFmtId="0" fontId="4" fillId="0" borderId="37" xfId="29" applyFill="1" applyBorder="1" applyAlignment="1" applyProtection="1">
      <alignment horizontal="center"/>
      <protection/>
    </xf>
    <xf numFmtId="0" fontId="4" fillId="0" borderId="39" xfId="29" applyFill="1" applyBorder="1">
      <alignment/>
      <protection/>
    </xf>
    <xf numFmtId="0" fontId="4" fillId="5" borderId="39" xfId="29" applyFill="1" applyBorder="1" applyProtection="1">
      <alignment/>
      <protection locked="0"/>
    </xf>
    <xf numFmtId="1" fontId="4" fillId="0" borderId="55" xfId="29" applyNumberFormat="1" applyFill="1" applyBorder="1">
      <alignment/>
      <protection/>
    </xf>
    <xf numFmtId="1" fontId="4" fillId="0" borderId="56" xfId="29" applyNumberFormat="1" applyFill="1" applyBorder="1">
      <alignment/>
      <protection/>
    </xf>
    <xf numFmtId="0" fontId="4" fillId="5" borderId="18" xfId="29" applyFill="1" applyBorder="1" applyAlignment="1" applyProtection="1">
      <alignment horizontal="center"/>
      <protection/>
    </xf>
    <xf numFmtId="173" fontId="4" fillId="0" borderId="57" xfId="29" applyNumberFormat="1" applyFill="1" applyBorder="1" applyProtection="1">
      <alignment/>
      <protection/>
    </xf>
    <xf numFmtId="1" fontId="4" fillId="0" borderId="58" xfId="29" applyNumberFormat="1" applyFill="1" applyBorder="1">
      <alignment/>
      <protection/>
    </xf>
    <xf numFmtId="1" fontId="4" fillId="0" borderId="59" xfId="29" applyNumberFormat="1" applyFill="1" applyBorder="1">
      <alignment/>
      <protection/>
    </xf>
    <xf numFmtId="0" fontId="4" fillId="0" borderId="60" xfId="29" applyFill="1" applyBorder="1" applyAlignment="1" applyProtection="1">
      <alignment horizontal="center"/>
      <protection/>
    </xf>
    <xf numFmtId="0" fontId="1" fillId="0" borderId="61" xfId="29" applyFont="1" applyFill="1" applyBorder="1" applyAlignment="1">
      <alignment horizontal="right"/>
      <protection/>
    </xf>
    <xf numFmtId="0" fontId="1" fillId="0" borderId="62" xfId="29" applyFont="1" applyFill="1" applyBorder="1" applyAlignment="1">
      <alignment horizontal="right"/>
      <protection/>
    </xf>
    <xf numFmtId="2" fontId="4" fillId="0" borderId="63" xfId="29" applyNumberFormat="1" applyFill="1" applyBorder="1">
      <alignment/>
      <protection/>
    </xf>
    <xf numFmtId="1" fontId="4" fillId="0" borderId="63" xfId="29" applyNumberFormat="1" applyFill="1" applyBorder="1">
      <alignment/>
      <protection/>
    </xf>
    <xf numFmtId="1" fontId="4" fillId="0" borderId="64" xfId="29" applyNumberFormat="1" applyFill="1" applyBorder="1">
      <alignment/>
      <protection/>
    </xf>
    <xf numFmtId="1" fontId="4" fillId="0" borderId="65" xfId="29" applyNumberFormat="1" applyFill="1" applyBorder="1">
      <alignment/>
      <protection/>
    </xf>
    <xf numFmtId="2" fontId="4" fillId="0" borderId="0" xfId="29" applyNumberFormat="1" applyFill="1" applyBorder="1" applyAlignment="1">
      <alignment horizontal="center"/>
      <protection/>
    </xf>
    <xf numFmtId="0" fontId="4" fillId="0" borderId="37" xfId="29" applyFill="1" applyBorder="1">
      <alignment/>
      <protection/>
    </xf>
    <xf numFmtId="2" fontId="4" fillId="0" borderId="38" xfId="29" applyNumberFormat="1" applyFill="1" applyBorder="1">
      <alignment/>
      <protection/>
    </xf>
    <xf numFmtId="0" fontId="1" fillId="0" borderId="0" xfId="29" applyFont="1" applyFill="1" applyBorder="1" applyAlignment="1">
      <alignment horizontal="left"/>
      <protection/>
    </xf>
    <xf numFmtId="0" fontId="4" fillId="0" borderId="60" xfId="29" applyFill="1" applyBorder="1">
      <alignment/>
      <protection/>
    </xf>
    <xf numFmtId="0" fontId="1" fillId="0" borderId="61" xfId="29" applyFont="1" applyFill="1" applyBorder="1" applyAlignment="1">
      <alignment horizontal="left"/>
      <protection/>
    </xf>
    <xf numFmtId="1" fontId="4" fillId="0" borderId="14" xfId="29" applyNumberFormat="1" applyFill="1" applyBorder="1">
      <alignment/>
      <protection/>
    </xf>
    <xf numFmtId="0" fontId="4" fillId="0" borderId="0" xfId="29" applyFill="1" applyBorder="1" applyAlignment="1">
      <alignment horizontal="centerContinuous"/>
      <protection/>
    </xf>
    <xf numFmtId="0" fontId="1" fillId="0" borderId="2" xfId="29" applyFont="1" applyFill="1" applyBorder="1" applyAlignment="1">
      <alignment horizontal="left"/>
      <protection/>
    </xf>
    <xf numFmtId="2" fontId="4" fillId="0" borderId="2" xfId="29" applyNumberFormat="1" applyFill="1" applyBorder="1">
      <alignment/>
      <protection/>
    </xf>
    <xf numFmtId="1" fontId="4" fillId="0" borderId="2" xfId="29" applyNumberFormat="1" applyFill="1" applyBorder="1">
      <alignment/>
      <protection/>
    </xf>
    <xf numFmtId="1" fontId="4" fillId="0" borderId="3" xfId="29" applyNumberFormat="1" applyFill="1" applyBorder="1">
      <alignment/>
      <protection/>
    </xf>
    <xf numFmtId="0" fontId="4" fillId="0" borderId="66" xfId="29" applyFill="1" applyBorder="1" applyAlignment="1">
      <alignment horizontal="center"/>
      <protection/>
    </xf>
    <xf numFmtId="0" fontId="4" fillId="0" borderId="0" xfId="29" applyFill="1" applyBorder="1" applyAlignment="1">
      <alignment/>
      <protection/>
    </xf>
    <xf numFmtId="0" fontId="4" fillId="0" borderId="67" xfId="29" applyFill="1" applyBorder="1" applyAlignment="1">
      <alignment horizontal="center"/>
      <protection/>
    </xf>
    <xf numFmtId="1" fontId="4" fillId="0" borderId="68" xfId="29" applyNumberFormat="1" applyFill="1" applyBorder="1">
      <alignment/>
      <protection/>
    </xf>
    <xf numFmtId="0" fontId="4" fillId="0" borderId="0" xfId="29" applyFill="1" applyBorder="1" applyAlignment="1" applyProtection="1">
      <alignment horizontal="center"/>
      <protection locked="0"/>
    </xf>
    <xf numFmtId="0" fontId="4" fillId="0" borderId="18" xfId="29" applyFill="1" applyBorder="1" applyAlignment="1">
      <alignment horizontal="right"/>
      <protection/>
    </xf>
    <xf numFmtId="2" fontId="4" fillId="0" borderId="7" xfId="29" applyNumberFormat="1" applyFill="1" applyBorder="1" applyProtection="1">
      <alignment/>
      <protection locked="0"/>
    </xf>
    <xf numFmtId="1" fontId="4" fillId="0" borderId="7" xfId="29" applyNumberFormat="1" applyFill="1" applyBorder="1" applyProtection="1">
      <alignment/>
      <protection locked="0"/>
    </xf>
    <xf numFmtId="1" fontId="4" fillId="0" borderId="8" xfId="29" applyNumberFormat="1" applyFill="1" applyBorder="1">
      <alignment/>
      <protection/>
    </xf>
    <xf numFmtId="0" fontId="4" fillId="0" borderId="37" xfId="29" applyFont="1" applyFill="1" applyBorder="1" applyAlignment="1">
      <alignment horizontal="right"/>
      <protection/>
    </xf>
    <xf numFmtId="1" fontId="4" fillId="0" borderId="57" xfId="29" applyNumberFormat="1" applyFill="1" applyBorder="1">
      <alignment/>
      <protection/>
    </xf>
    <xf numFmtId="0" fontId="4" fillId="0" borderId="60" xfId="29" applyFill="1" applyBorder="1" applyAlignment="1">
      <alignment horizontal="center"/>
      <protection/>
    </xf>
    <xf numFmtId="1" fontId="4" fillId="0" borderId="69" xfId="29" applyNumberFormat="1" applyFill="1" applyBorder="1">
      <alignment/>
      <protection/>
    </xf>
    <xf numFmtId="1" fontId="4" fillId="0" borderId="70" xfId="29" applyNumberFormat="1" applyFill="1" applyBorder="1">
      <alignment/>
      <protection/>
    </xf>
    <xf numFmtId="0" fontId="4" fillId="0" borderId="62" xfId="29" applyFill="1" applyBorder="1">
      <alignment/>
      <protection/>
    </xf>
    <xf numFmtId="0" fontId="4" fillId="5" borderId="65" xfId="29" applyFill="1" applyBorder="1" applyAlignment="1" applyProtection="1">
      <alignment horizontal="center"/>
      <protection/>
    </xf>
    <xf numFmtId="0" fontId="4" fillId="0" borderId="71" xfId="29" applyFill="1" applyBorder="1">
      <alignment/>
      <protection/>
    </xf>
    <xf numFmtId="0" fontId="4" fillId="0" borderId="61" xfId="29" applyFill="1" applyBorder="1">
      <alignment/>
      <protection/>
    </xf>
    <xf numFmtId="2" fontId="4" fillId="0" borderId="62" xfId="29" applyNumberFormat="1" applyFill="1" applyBorder="1">
      <alignment/>
      <protection/>
    </xf>
    <xf numFmtId="1" fontId="4" fillId="5" borderId="63" xfId="29" applyNumberFormat="1" applyFill="1" applyBorder="1" applyProtection="1">
      <alignment/>
      <protection locked="0"/>
    </xf>
    <xf numFmtId="1" fontId="4" fillId="0" borderId="50" xfId="29" applyNumberFormat="1" applyFill="1" applyBorder="1">
      <alignment/>
      <protection/>
    </xf>
    <xf numFmtId="0" fontId="4" fillId="0" borderId="72" xfId="29" applyFill="1" applyBorder="1">
      <alignment/>
      <protection/>
    </xf>
    <xf numFmtId="0" fontId="4" fillId="0" borderId="73" xfId="29" applyFill="1" applyBorder="1">
      <alignment/>
      <protection/>
    </xf>
    <xf numFmtId="0" fontId="2" fillId="0" borderId="73" xfId="29" applyFont="1" applyFill="1" applyBorder="1">
      <alignment/>
      <protection/>
    </xf>
    <xf numFmtId="2" fontId="4" fillId="0" borderId="73" xfId="29" applyNumberFormat="1" applyFill="1" applyBorder="1">
      <alignment/>
      <protection/>
    </xf>
    <xf numFmtId="0" fontId="4" fillId="0" borderId="74" xfId="29" applyFill="1" applyBorder="1">
      <alignment/>
      <protection/>
    </xf>
    <xf numFmtId="2" fontId="4" fillId="4" borderId="0" xfId="29" applyNumberFormat="1" applyFill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TMS800E Trailing Boom Weight Shee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0</xdr:row>
      <xdr:rowOff>38100</xdr:rowOff>
    </xdr:from>
    <xdr:to>
      <xdr:col>6</xdr:col>
      <xdr:colOff>257175</xdr:colOff>
      <xdr:row>3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200275" y="38100"/>
          <a:ext cx="443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TMS800E07 SERIES WEIGHTS </a:t>
          </a:r>
        </a:p>
      </xdr:txBody>
    </xdr:sp>
    <xdr:clientData/>
  </xdr:twoCellAnchor>
  <xdr:twoCellAnchor>
    <xdr:from>
      <xdr:col>1</xdr:col>
      <xdr:colOff>219075</xdr:colOff>
      <xdr:row>17</xdr:row>
      <xdr:rowOff>114300</xdr:rowOff>
    </xdr:from>
    <xdr:to>
      <xdr:col>3</xdr:col>
      <xdr:colOff>600075</xdr:colOff>
      <xdr:row>22</xdr:row>
      <xdr:rowOff>133350</xdr:rowOff>
    </xdr:to>
    <xdr:grpSp>
      <xdr:nvGrpSpPr>
        <xdr:cNvPr id="2" name="Group 27"/>
        <xdr:cNvGrpSpPr>
          <a:grpSpLocks/>
        </xdr:cNvGrpSpPr>
      </xdr:nvGrpSpPr>
      <xdr:grpSpPr>
        <a:xfrm>
          <a:off x="390525" y="2867025"/>
          <a:ext cx="1219200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3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4" name="Line 29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  <xdr:twoCellAnchor editAs="oneCell">
    <xdr:from>
      <xdr:col>3</xdr:col>
      <xdr:colOff>3486150</xdr:colOff>
      <xdr:row>4</xdr:row>
      <xdr:rowOff>57150</xdr:rowOff>
    </xdr:from>
    <xdr:to>
      <xdr:col>8</xdr:col>
      <xdr:colOff>133350</xdr:colOff>
      <xdr:row>13</xdr:row>
      <xdr:rowOff>104775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04850"/>
          <a:ext cx="3867150" cy="1504950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39</xdr:row>
      <xdr:rowOff>19050</xdr:rowOff>
    </xdr:from>
    <xdr:to>
      <xdr:col>5</xdr:col>
      <xdr:colOff>476250</xdr:colOff>
      <xdr:row>40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14325" y="6772275"/>
          <a:ext cx="4324350" cy="295275"/>
          <a:chOff x="-3356" y="-618627"/>
          <a:chExt cx="20874" cy="31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3356" y="-618557"/>
            <a:ext cx="0" cy="2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" name="Text 90"/>
          <xdr:cNvSpPr txBox="1">
            <a:spLocks noChangeArrowheads="1"/>
          </xdr:cNvSpPr>
        </xdr:nvSpPr>
        <xdr:spPr>
          <a:xfrm>
            <a:off x="1904" y="-618627"/>
            <a:ext cx="15614" cy="1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Only checked items are included in totals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-3356" y="-618557"/>
            <a:ext cx="525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/>
  </xdr:twoCellAnchor>
  <xdr:twoCellAnchor>
    <xdr:from>
      <xdr:col>1</xdr:col>
      <xdr:colOff>285750</xdr:colOff>
      <xdr:row>5</xdr:row>
      <xdr:rowOff>66675</xdr:rowOff>
    </xdr:from>
    <xdr:to>
      <xdr:col>9</xdr:col>
      <xdr:colOff>476250</xdr:colOff>
      <xdr:row>27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457200" y="1085850"/>
          <a:ext cx="7715250" cy="3771900"/>
          <a:chOff x="-1467" y="-2032"/>
          <a:chExt cx="20420" cy="19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754" y="-1930"/>
            <a:ext cx="0" cy="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8529" y="-1939"/>
            <a:ext cx="0" cy="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388" y="-1939"/>
            <a:ext cx="0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554" y="-2027"/>
            <a:ext cx="0" cy="153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3628" y="-1966"/>
            <a:ext cx="0" cy="1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88" y="-1857"/>
            <a:ext cx="41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7554" y="-1878"/>
            <a:ext cx="9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9233" y="-1939"/>
            <a:ext cx="0" cy="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3098" y="-1939"/>
            <a:ext cx="0" cy="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9177" y="-1878"/>
            <a:ext cx="39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6" name="Text 53"/>
          <xdr:cNvSpPr txBox="1">
            <a:spLocks noChangeArrowheads="1"/>
          </xdr:cNvSpPr>
        </xdr:nvSpPr>
        <xdr:spPr>
          <a:xfrm>
            <a:off x="2372" y="-2019"/>
            <a:ext cx="2491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CL Rotation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4889" y="-2020"/>
            <a:ext cx="266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18" name="Text 56"/>
          <xdr:cNvSpPr txBox="1">
            <a:spLocks noChangeArrowheads="1"/>
          </xdr:cNvSpPr>
        </xdr:nvSpPr>
        <xdr:spPr>
          <a:xfrm>
            <a:off x="5226" y="-1862"/>
            <a:ext cx="282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Wheelbase</a:t>
            </a:r>
          </a:p>
        </xdr:txBody>
      </xdr:sp>
      <xdr:sp>
        <xdr:nvSpPr>
          <xdr:cNvPr id="19" name="Text 57"/>
          <xdr:cNvSpPr txBox="1">
            <a:spLocks noChangeArrowheads="1"/>
          </xdr:cNvSpPr>
        </xdr:nvSpPr>
        <xdr:spPr>
          <a:xfrm>
            <a:off x="16038" y="-1863"/>
            <a:ext cx="29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Rear Overhang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3628" y="-1857"/>
            <a:ext cx="204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5676" y="-1950"/>
            <a:ext cx="0" cy="1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810" y="-1842"/>
            <a:ext cx="13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3" name="Text 62"/>
          <xdr:cNvSpPr txBox="1">
            <a:spLocks noChangeArrowheads="1"/>
          </xdr:cNvSpPr>
        </xdr:nvSpPr>
        <xdr:spPr>
          <a:xfrm>
            <a:off x="1586" y="-1993"/>
            <a:ext cx="280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Pivot Pin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526" y="-1985"/>
            <a:ext cx="2047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6711" y="-2014"/>
            <a:ext cx="0" cy="1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5395" y="-1985"/>
            <a:ext cx="0" cy="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6742" y="-1980"/>
            <a:ext cx="865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28" name="Text 67"/>
          <xdr:cNvSpPr txBox="1">
            <a:spLocks noChangeArrowheads="1"/>
          </xdr:cNvSpPr>
        </xdr:nvSpPr>
        <xdr:spPr>
          <a:xfrm>
            <a:off x="9514" y="-1986"/>
            <a:ext cx="4064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Boom Length</a:t>
            </a:r>
          </a:p>
        </xdr:txBody>
      </xdr:sp>
      <xdr:sp>
        <xdr:nvSpPr>
          <xdr:cNvPr id="29" name="Text 71"/>
          <xdr:cNvSpPr txBox="1">
            <a:spLocks noChangeArrowheads="1"/>
          </xdr:cNvSpPr>
        </xdr:nvSpPr>
        <xdr:spPr>
          <a:xfrm>
            <a:off x="5450" y="-1886"/>
            <a:ext cx="1991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Bogie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810" y="-1857"/>
            <a:ext cx="257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1" name="Text 73"/>
          <xdr:cNvSpPr txBox="1">
            <a:spLocks noChangeArrowheads="1"/>
          </xdr:cNvSpPr>
        </xdr:nvSpPr>
        <xdr:spPr>
          <a:xfrm>
            <a:off x="-1467" y="-1862"/>
            <a:ext cx="2915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Front Overhang</a:t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8534" y="-1857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3" name="Text 75"/>
          <xdr:cNvSpPr txBox="1">
            <a:spLocks noChangeArrowheads="1"/>
          </xdr:cNvSpPr>
        </xdr:nvSpPr>
        <xdr:spPr>
          <a:xfrm>
            <a:off x="10101" y="-1862"/>
            <a:ext cx="1680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Dolly</a:t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6599" y="-1904"/>
            <a:ext cx="95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5" name="Text 86"/>
          <xdr:cNvSpPr txBox="1">
            <a:spLocks noChangeArrowheads="1"/>
          </xdr:cNvSpPr>
        </xdr:nvSpPr>
        <xdr:spPr>
          <a:xfrm>
            <a:off x="4807" y="-1909"/>
            <a:ext cx="1766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Pin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5676" y="-2011"/>
            <a:ext cx="0" cy="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6711" y="-2008"/>
            <a:ext cx="89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38" name="Text 98"/>
          <xdr:cNvSpPr txBox="1">
            <a:spLocks noChangeArrowheads="1"/>
          </xdr:cNvSpPr>
        </xdr:nvSpPr>
        <xdr:spPr>
          <a:xfrm>
            <a:off x="9514" y="-2014"/>
            <a:ext cx="406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OA Retr. Boom Length</a:t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593" y="-2026"/>
            <a:ext cx="40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0" name="Text 100"/>
          <xdr:cNvSpPr txBox="1">
            <a:spLocks noChangeArrowheads="1"/>
          </xdr:cNvSpPr>
        </xdr:nvSpPr>
        <xdr:spPr>
          <a:xfrm>
            <a:off x="9738" y="-2032"/>
            <a:ext cx="337" cy="9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+</a:t>
            </a:r>
          </a:p>
        </xdr:txBody>
      </xdr:sp>
      <xdr:sp>
        <xdr:nvSpPr>
          <xdr:cNvPr id="41" name="Text 101"/>
          <xdr:cNvSpPr txBox="1">
            <a:spLocks noChangeArrowheads="1"/>
          </xdr:cNvSpPr>
        </xdr:nvSpPr>
        <xdr:spPr>
          <a:xfrm>
            <a:off x="5144" y="-2031"/>
            <a:ext cx="362" cy="8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-</a:t>
            </a:r>
          </a:p>
        </xdr:txBody>
      </xdr:sp>
      <xdr:sp>
        <xdr:nvSpPr>
          <xdr:cNvPr id="42" name="Oval 42"/>
          <xdr:cNvSpPr>
            <a:spLocks/>
          </xdr:cNvSpPr>
        </xdr:nvSpPr>
        <xdr:spPr>
          <a:xfrm>
            <a:off x="6655" y="-1964"/>
            <a:ext cx="138" cy="3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6711" y="-1967"/>
            <a:ext cx="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5257" y="-1967"/>
            <a:ext cx="8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15339" y="-1967"/>
            <a:ext cx="0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6" name="Drawing 41"/>
          <xdr:cNvSpPr>
            <a:spLocks/>
          </xdr:cNvSpPr>
        </xdr:nvSpPr>
        <xdr:spPr>
          <a:xfrm>
            <a:off x="13577" y="-1960"/>
            <a:ext cx="0" cy="1"/>
          </a:xfrm>
          <a:custGeom>
            <a:pathLst>
              <a:path h="16384" w="16384">
                <a:moveTo>
                  <a:pt x="16384" y="0"/>
                </a:move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2704" y="-1921"/>
            <a:ext cx="13196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8" name="Drawing 42"/>
          <xdr:cNvSpPr>
            <a:spLocks/>
          </xdr:cNvSpPr>
        </xdr:nvSpPr>
        <xdr:spPr>
          <a:xfrm>
            <a:off x="15257" y="-1967"/>
            <a:ext cx="449" cy="13"/>
          </a:xfrm>
          <a:custGeom>
            <a:pathLst>
              <a:path h="16384" w="16384">
                <a:moveTo>
                  <a:pt x="0" y="643"/>
                </a:moveTo>
                <a:lnTo>
                  <a:pt x="0" y="321"/>
                </a:lnTo>
                <a:lnTo>
                  <a:pt x="14895" y="0"/>
                </a:lnTo>
                <a:lnTo>
                  <a:pt x="16384" y="15741"/>
                </a:lnTo>
                <a:lnTo>
                  <a:pt x="2979" y="16384"/>
                </a:lnTo>
                <a:lnTo>
                  <a:pt x="2979" y="15741"/>
                </a:lnTo>
                <a:lnTo>
                  <a:pt x="0" y="8031"/>
                </a:lnTo>
                <a:lnTo>
                  <a:pt x="0" y="9316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49" name="Drawing 2"/>
          <xdr:cNvSpPr>
            <a:spLocks/>
          </xdr:cNvSpPr>
        </xdr:nvSpPr>
        <xdr:spPr>
          <a:xfrm>
            <a:off x="1754" y="-1958"/>
            <a:ext cx="8597" cy="34"/>
          </a:xfrm>
          <a:custGeom>
            <a:pathLst>
              <a:path h="16384" w="16384">
                <a:moveTo>
                  <a:pt x="819" y="0"/>
                </a:moveTo>
                <a:lnTo>
                  <a:pt x="0" y="8456"/>
                </a:lnTo>
                <a:lnTo>
                  <a:pt x="0" y="12684"/>
                </a:lnTo>
                <a:lnTo>
                  <a:pt x="1147" y="14006"/>
                </a:lnTo>
                <a:lnTo>
                  <a:pt x="2703" y="14006"/>
                </a:lnTo>
                <a:lnTo>
                  <a:pt x="2703" y="14270"/>
                </a:lnTo>
                <a:lnTo>
                  <a:pt x="3277" y="10835"/>
                </a:lnTo>
                <a:lnTo>
                  <a:pt x="6472" y="10835"/>
                </a:lnTo>
                <a:lnTo>
                  <a:pt x="7045" y="14270"/>
                </a:lnTo>
                <a:lnTo>
                  <a:pt x="7373" y="14270"/>
                </a:lnTo>
                <a:lnTo>
                  <a:pt x="7373" y="16384"/>
                </a:lnTo>
                <a:lnTo>
                  <a:pt x="8192" y="16384"/>
                </a:lnTo>
                <a:lnTo>
                  <a:pt x="8192" y="14534"/>
                </a:lnTo>
                <a:lnTo>
                  <a:pt x="10486" y="14534"/>
                </a:lnTo>
                <a:lnTo>
                  <a:pt x="10813" y="10835"/>
                </a:lnTo>
                <a:lnTo>
                  <a:pt x="15401" y="10835"/>
                </a:lnTo>
                <a:lnTo>
                  <a:pt x="15647" y="14534"/>
                </a:lnTo>
                <a:lnTo>
                  <a:pt x="16384" y="14534"/>
                </a:lnTo>
                <a:lnTo>
                  <a:pt x="16384" y="7663"/>
                </a:lnTo>
                <a:lnTo>
                  <a:pt x="6062" y="7663"/>
                </a:lnTo>
                <a:lnTo>
                  <a:pt x="5816" y="3700"/>
                </a:lnTo>
                <a:lnTo>
                  <a:pt x="3113" y="3700"/>
                </a:lnTo>
                <a:lnTo>
                  <a:pt x="3031" y="0"/>
                </a:lnTo>
                <a:lnTo>
                  <a:pt x="819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8896" y="-1933"/>
            <a:ext cx="618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10438" y="-1942"/>
            <a:ext cx="562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12761" y="-1933"/>
            <a:ext cx="674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3" name="Drawing 25"/>
          <xdr:cNvSpPr>
            <a:spLocks/>
          </xdr:cNvSpPr>
        </xdr:nvSpPr>
        <xdr:spPr>
          <a:xfrm>
            <a:off x="6461" y="-1966"/>
            <a:ext cx="3334" cy="21"/>
          </a:xfrm>
          <a:custGeom>
            <a:pathLst>
              <a:path h="16384" w="16384">
                <a:moveTo>
                  <a:pt x="210" y="16384"/>
                </a:moveTo>
                <a:lnTo>
                  <a:pt x="315" y="16177"/>
                </a:lnTo>
                <a:lnTo>
                  <a:pt x="15019" y="16384"/>
                </a:lnTo>
                <a:lnTo>
                  <a:pt x="16384" y="11821"/>
                </a:lnTo>
                <a:lnTo>
                  <a:pt x="14809" y="1037"/>
                </a:lnTo>
                <a:lnTo>
                  <a:pt x="12078" y="1244"/>
                </a:lnTo>
                <a:lnTo>
                  <a:pt x="12078" y="1037"/>
                </a:lnTo>
                <a:lnTo>
                  <a:pt x="11448" y="6222"/>
                </a:lnTo>
                <a:lnTo>
                  <a:pt x="3781" y="0"/>
                </a:lnTo>
                <a:lnTo>
                  <a:pt x="0" y="207"/>
                </a:lnTo>
                <a:lnTo>
                  <a:pt x="105" y="0"/>
                </a:lnTo>
                <a:lnTo>
                  <a:pt x="210" y="16384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762" y="-1962"/>
            <a:ext cx="562" cy="17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5" name="Drawing 34"/>
          <xdr:cNvSpPr>
            <a:spLocks/>
          </xdr:cNvSpPr>
        </xdr:nvSpPr>
        <xdr:spPr>
          <a:xfrm>
            <a:off x="6711" y="-1969"/>
            <a:ext cx="8627" cy="9"/>
          </a:xfrm>
          <a:custGeom>
            <a:pathLst>
              <a:path h="16384" w="16384">
                <a:moveTo>
                  <a:pt x="0" y="0"/>
                </a:moveTo>
                <a:lnTo>
                  <a:pt x="16143" y="0"/>
                </a:lnTo>
                <a:lnTo>
                  <a:pt x="16384" y="15872"/>
                </a:lnTo>
                <a:lnTo>
                  <a:pt x="5542" y="16384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12536" y="-1937"/>
            <a:ext cx="2210" cy="4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7" name="Drawing 40"/>
          <xdr:cNvSpPr>
            <a:spLocks/>
          </xdr:cNvSpPr>
        </xdr:nvSpPr>
        <xdr:spPr>
          <a:xfrm>
            <a:off x="13016" y="-1960"/>
            <a:ext cx="1205" cy="23"/>
          </a:xfrm>
          <a:custGeom>
            <a:pathLst>
              <a:path h="16384" w="16384">
                <a:moveTo>
                  <a:pt x="5140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11565" y="0"/>
                </a:lnTo>
                <a:lnTo>
                  <a:pt x="5140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15114" y="-1956"/>
            <a:ext cx="505" cy="11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15114" y="-1971"/>
            <a:ext cx="449" cy="9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7691" y="-1933"/>
            <a:ext cx="699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4669" y="-1933"/>
            <a:ext cx="562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3689" y="-1933"/>
            <a:ext cx="562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13909" y="-1933"/>
            <a:ext cx="587" cy="12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  <xdr:sp>
        <xdr:nvSpPr>
          <xdr:cNvPr id="64" name="Text 68"/>
          <xdr:cNvSpPr txBox="1">
            <a:spLocks noChangeArrowheads="1"/>
          </xdr:cNvSpPr>
        </xdr:nvSpPr>
        <xdr:spPr>
          <a:xfrm>
            <a:off x="7834" y="-1848"/>
            <a:ext cx="2185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OAL</a:t>
            </a:r>
          </a:p>
        </xdr:txBody>
      </xdr:sp>
    </xdr:grpSp>
    <xdr:clientData/>
  </xdr:twoCellAnchor>
  <xdr:twoCellAnchor>
    <xdr:from>
      <xdr:col>16</xdr:col>
      <xdr:colOff>76200</xdr:colOff>
      <xdr:row>1</xdr:row>
      <xdr:rowOff>0</xdr:rowOff>
    </xdr:from>
    <xdr:to>
      <xdr:col>20</xdr:col>
      <xdr:colOff>219075</xdr:colOff>
      <xdr:row>10</xdr:row>
      <xdr:rowOff>114300</xdr:rowOff>
    </xdr:to>
    <xdr:sp>
      <xdr:nvSpPr>
        <xdr:cNvPr id="65" name="Text 104"/>
        <xdr:cNvSpPr txBox="1">
          <a:spLocks noChangeArrowheads="1"/>
        </xdr:cNvSpPr>
      </xdr:nvSpPr>
      <xdr:spPr>
        <a:xfrm>
          <a:off x="12372975" y="171450"/>
          <a:ext cx="27527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NOTICE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All Revisions should be done only to the GREY cells.  
Cells with a clear background contain formulas, based on data in the grey cells. 
 </a:t>
          </a:r>
        </a:p>
      </xdr:txBody>
    </xdr:sp>
    <xdr:clientData/>
  </xdr:twoCellAnchor>
  <xdr:twoCellAnchor>
    <xdr:from>
      <xdr:col>8</xdr:col>
      <xdr:colOff>200025</xdr:colOff>
      <xdr:row>15</xdr:row>
      <xdr:rowOff>19050</xdr:rowOff>
    </xdr:from>
    <xdr:to>
      <xdr:col>8</xdr:col>
      <xdr:colOff>866775</xdr:colOff>
      <xdr:row>18</xdr:row>
      <xdr:rowOff>0</xdr:rowOff>
    </xdr:to>
    <xdr:grpSp>
      <xdr:nvGrpSpPr>
        <xdr:cNvPr id="66" name="Group 87"/>
        <xdr:cNvGrpSpPr>
          <a:grpSpLocks/>
        </xdr:cNvGrpSpPr>
      </xdr:nvGrpSpPr>
      <xdr:grpSpPr>
        <a:xfrm>
          <a:off x="7010400" y="2790825"/>
          <a:ext cx="666750" cy="485775"/>
          <a:chOff x="-65" y="-109136"/>
          <a:chExt cx="63" cy="255"/>
        </a:xfrm>
        <a:solidFill>
          <a:srgbClr val="FFFFFF"/>
        </a:solidFill>
      </xdr:grpSpPr>
    </xdr:grpSp>
    <xdr:clientData/>
  </xdr:twoCellAnchor>
  <xdr:twoCellAnchor>
    <xdr:from>
      <xdr:col>8</xdr:col>
      <xdr:colOff>200025</xdr:colOff>
      <xdr:row>19</xdr:row>
      <xdr:rowOff>0</xdr:rowOff>
    </xdr:from>
    <xdr:to>
      <xdr:col>8</xdr:col>
      <xdr:colOff>866775</xdr:colOff>
      <xdr:row>21</xdr:row>
      <xdr:rowOff>142875</xdr:rowOff>
    </xdr:to>
    <xdr:grpSp>
      <xdr:nvGrpSpPr>
        <xdr:cNvPr id="70" name="Group 91"/>
        <xdr:cNvGrpSpPr>
          <a:grpSpLocks/>
        </xdr:cNvGrpSpPr>
      </xdr:nvGrpSpPr>
      <xdr:grpSpPr>
        <a:xfrm>
          <a:off x="7010400" y="3438525"/>
          <a:ext cx="666750" cy="466725"/>
          <a:chOff x="-65" y="-131801"/>
          <a:chExt cx="63" cy="196"/>
        </a:xfrm>
        <a:solidFill>
          <a:srgbClr val="FFFFFF"/>
        </a:solidFill>
      </xdr:grpSpPr>
    </xdr:grpSp>
    <xdr:clientData/>
  </xdr:twoCellAnchor>
  <xdr:twoCellAnchor>
    <xdr:from>
      <xdr:col>4</xdr:col>
      <xdr:colOff>495300</xdr:colOff>
      <xdr:row>42</xdr:row>
      <xdr:rowOff>19050</xdr:rowOff>
    </xdr:from>
    <xdr:to>
      <xdr:col>5</xdr:col>
      <xdr:colOff>85725</xdr:colOff>
      <xdr:row>45</xdr:row>
      <xdr:rowOff>0</xdr:rowOff>
    </xdr:to>
    <xdr:grpSp>
      <xdr:nvGrpSpPr>
        <xdr:cNvPr id="74" name="Group 95"/>
        <xdr:cNvGrpSpPr>
          <a:grpSpLocks/>
        </xdr:cNvGrpSpPr>
      </xdr:nvGrpSpPr>
      <xdr:grpSpPr>
        <a:xfrm>
          <a:off x="3600450" y="7439025"/>
          <a:ext cx="647700" cy="466725"/>
          <a:chOff x="-12515" y="-212112"/>
          <a:chExt cx="14152" cy="196"/>
        </a:xfrm>
        <a:solidFill>
          <a:srgbClr val="FFFFFF"/>
        </a:solidFill>
      </xdr:grpSpPr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rketing\Crane\Engineering%20Weights\TM's\TMS800E\Trailing%20Boom\TMS900E%20-%20Trailing%20Boom%20-%20Rev%20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G REV B 6-13-02 "/>
      <sheetName val="Wts for Specs"/>
      <sheetName val="Module1"/>
    </sheetNames>
    <definedNames>
      <definedName name="Boom_2AxleMax"/>
      <definedName name="Boom_2AxleMax1"/>
      <definedName name="Boom_2AxleMin"/>
      <definedName name="Boom_2AxleMin1"/>
      <definedName name="Dolly_2AxleMax"/>
      <definedName name="Dolly_2AxleM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zoomScale="75" zoomScaleNormal="75" workbookViewId="0" topLeftCell="A1">
      <selection activeCell="A1" sqref="A1"/>
    </sheetView>
  </sheetViews>
  <sheetFormatPr defaultColWidth="12.3984375" defaultRowHeight="15"/>
  <cols>
    <col min="1" max="1" width="1.796875" style="9" customWidth="1"/>
    <col min="2" max="2" width="4.09765625" style="131" customWidth="1"/>
    <col min="3" max="3" width="4.69921875" style="131" customWidth="1"/>
    <col min="4" max="4" width="36.69921875" style="9" customWidth="1"/>
    <col min="5" max="5" width="9.69921875" style="9" customWidth="1"/>
    <col min="6" max="6" width="10" style="9" customWidth="1"/>
    <col min="7" max="8" width="9.69921875" style="9" customWidth="1"/>
    <col min="9" max="9" width="1.69921875" style="9" customWidth="1"/>
    <col min="10" max="10" width="1.2890625" style="9" customWidth="1"/>
    <col min="11" max="11" width="1.8984375" style="9" customWidth="1"/>
    <col min="12" max="12" width="8.19921875" style="9" customWidth="1"/>
    <col min="13" max="13" width="8" style="9" customWidth="1"/>
    <col min="14" max="14" width="8.69921875" style="9" customWidth="1"/>
    <col min="15" max="15" width="3" style="9" customWidth="1"/>
    <col min="16" max="16" width="3.09765625" style="9" customWidth="1"/>
    <col min="17" max="17" width="15.09765625" style="9" customWidth="1"/>
    <col min="18" max="18" width="8.296875" style="9" customWidth="1"/>
    <col min="19" max="16384" width="12.3984375" style="9" customWidth="1"/>
  </cols>
  <sheetData>
    <row r="1" spans="1:18" ht="12.75" customHeight="1">
      <c r="A1" s="1"/>
      <c r="B1" s="2"/>
      <c r="C1" s="2"/>
      <c r="D1" s="2"/>
      <c r="E1" s="3"/>
      <c r="F1" s="3"/>
      <c r="G1" s="3"/>
      <c r="H1" s="4"/>
      <c r="I1" s="5"/>
      <c r="J1" s="6"/>
      <c r="K1" s="7"/>
      <c r="L1" s="8"/>
      <c r="M1" s="8"/>
      <c r="N1" s="8"/>
      <c r="O1" s="8"/>
      <c r="P1" s="8"/>
      <c r="Q1" s="7"/>
      <c r="R1" s="7"/>
    </row>
    <row r="2" spans="1:18" ht="12.75" customHeight="1">
      <c r="A2" s="10"/>
      <c r="B2" s="11" t="s">
        <v>0</v>
      </c>
      <c r="C2" s="11"/>
      <c r="D2" s="11"/>
      <c r="E2" s="8"/>
      <c r="F2" s="8"/>
      <c r="G2" s="12"/>
      <c r="H2" s="13" t="s">
        <v>1</v>
      </c>
      <c r="I2" s="14"/>
      <c r="J2" s="6"/>
      <c r="K2" s="7"/>
      <c r="L2" s="8"/>
      <c r="M2" s="8"/>
      <c r="N2" s="8"/>
      <c r="O2" s="8"/>
      <c r="P2" s="8"/>
      <c r="Q2" s="7"/>
      <c r="R2" s="7"/>
    </row>
    <row r="3" spans="1:18" s="21" customFormat="1" ht="12.75" customHeight="1" thickBot="1">
      <c r="A3" s="15"/>
      <c r="B3" s="16" t="s">
        <v>2</v>
      </c>
      <c r="C3" s="16"/>
      <c r="D3" s="16"/>
      <c r="E3" s="17"/>
      <c r="F3" s="17"/>
      <c r="G3" s="18"/>
      <c r="H3" s="19">
        <v>39191</v>
      </c>
      <c r="I3" s="20"/>
      <c r="K3" s="22"/>
      <c r="L3" s="23"/>
      <c r="M3" s="23"/>
      <c r="N3" s="23"/>
      <c r="O3" s="23"/>
      <c r="P3" s="23"/>
      <c r="Q3" s="23"/>
      <c r="R3" s="22"/>
    </row>
    <row r="4" spans="1:18" ht="12.75" customHeight="1">
      <c r="A4" s="24"/>
      <c r="B4" s="25"/>
      <c r="C4" s="25"/>
      <c r="D4" s="8"/>
      <c r="E4" s="8"/>
      <c r="F4" s="8"/>
      <c r="G4" s="8"/>
      <c r="H4" s="8"/>
      <c r="I4" s="14"/>
      <c r="J4" s="6"/>
      <c r="K4" s="8"/>
      <c r="L4" s="26" t="s">
        <v>3</v>
      </c>
      <c r="M4" s="27"/>
      <c r="N4" s="27"/>
      <c r="O4" s="27"/>
      <c r="P4" s="27"/>
      <c r="Q4" s="28"/>
      <c r="R4" s="8"/>
    </row>
    <row r="5" spans="1:18" ht="12.75" customHeight="1">
      <c r="A5" s="24"/>
      <c r="B5" s="29" t="s">
        <v>4</v>
      </c>
      <c r="C5" s="29"/>
      <c r="D5" s="8"/>
      <c r="E5" s="8"/>
      <c r="F5" s="8"/>
      <c r="G5" s="8"/>
      <c r="H5" s="8"/>
      <c r="I5" s="14"/>
      <c r="J5" s="6"/>
      <c r="K5" s="8"/>
      <c r="L5" s="30" t="s">
        <v>5</v>
      </c>
      <c r="M5" s="8"/>
      <c r="N5" s="8"/>
      <c r="O5" s="8"/>
      <c r="P5" s="8"/>
      <c r="Q5" s="31"/>
      <c r="R5" s="7"/>
    </row>
    <row r="6" spans="1:18" ht="12.75" customHeight="1">
      <c r="A6" s="24"/>
      <c r="B6" s="25"/>
      <c r="C6" s="8" t="s">
        <v>6</v>
      </c>
      <c r="D6"/>
      <c r="E6" s="8"/>
      <c r="F6" s="8"/>
      <c r="G6" s="8"/>
      <c r="H6" s="8"/>
      <c r="I6" s="14"/>
      <c r="J6" s="6"/>
      <c r="K6" s="7"/>
      <c r="L6" s="30"/>
      <c r="M6" s="8"/>
      <c r="N6" s="8"/>
      <c r="O6" s="8"/>
      <c r="P6" s="8"/>
      <c r="Q6" s="32"/>
      <c r="R6" s="7"/>
    </row>
    <row r="7" spans="1:18" ht="12.75" customHeight="1">
      <c r="A7" s="24"/>
      <c r="B7" s="25"/>
      <c r="C7" s="8" t="s">
        <v>7</v>
      </c>
      <c r="D7"/>
      <c r="E7" s="8"/>
      <c r="F7" s="8"/>
      <c r="G7" s="8"/>
      <c r="H7" s="8"/>
      <c r="I7" s="14"/>
      <c r="J7" s="6"/>
      <c r="K7" s="7"/>
      <c r="L7" s="30"/>
      <c r="M7" s="8"/>
      <c r="N7" s="8"/>
      <c r="O7" s="8"/>
      <c r="P7" s="8"/>
      <c r="Q7" s="32"/>
      <c r="R7" s="7"/>
    </row>
    <row r="8" spans="1:18" ht="12.75" customHeight="1">
      <c r="A8" s="24"/>
      <c r="B8" s="25"/>
      <c r="C8" s="8" t="s">
        <v>8</v>
      </c>
      <c r="D8"/>
      <c r="E8" s="8"/>
      <c r="F8" s="8"/>
      <c r="G8" s="8"/>
      <c r="H8" s="8"/>
      <c r="I8" s="14"/>
      <c r="J8" s="6"/>
      <c r="K8" s="7"/>
      <c r="L8" s="30"/>
      <c r="M8" s="8"/>
      <c r="N8" s="8"/>
      <c r="O8" s="8"/>
      <c r="P8" s="8"/>
      <c r="Q8" s="32"/>
      <c r="R8" s="7"/>
    </row>
    <row r="9" spans="1:18" ht="12.75" customHeight="1">
      <c r="A9" s="24"/>
      <c r="B9" s="25"/>
      <c r="C9" s="33" t="s">
        <v>9</v>
      </c>
      <c r="D9"/>
      <c r="E9" s="8"/>
      <c r="F9" s="8"/>
      <c r="G9" s="8"/>
      <c r="H9" s="8"/>
      <c r="I9" s="14"/>
      <c r="J9" s="6"/>
      <c r="K9" s="7"/>
      <c r="L9" s="34"/>
      <c r="M9" s="8"/>
      <c r="N9" s="8"/>
      <c r="O9" s="8"/>
      <c r="P9" s="8"/>
      <c r="Q9" s="32"/>
      <c r="R9" s="7"/>
    </row>
    <row r="10" spans="1:18" ht="12.75" customHeight="1" thickBot="1">
      <c r="A10" s="24"/>
      <c r="B10" s="25"/>
      <c r="C10" s="8" t="s">
        <v>10</v>
      </c>
      <c r="D10"/>
      <c r="E10" s="8"/>
      <c r="F10" s="8"/>
      <c r="G10" s="8"/>
      <c r="H10" s="8"/>
      <c r="I10" s="14"/>
      <c r="J10" s="6"/>
      <c r="K10" s="7"/>
      <c r="L10" s="35"/>
      <c r="M10" s="36"/>
      <c r="N10" s="36"/>
      <c r="O10" s="36"/>
      <c r="P10" s="36"/>
      <c r="Q10" s="37"/>
      <c r="R10" s="7"/>
    </row>
    <row r="11" spans="1:18" ht="12.75" customHeight="1">
      <c r="A11" s="24"/>
      <c r="B11" s="25"/>
      <c r="C11" s="8" t="s">
        <v>11</v>
      </c>
      <c r="D11"/>
      <c r="E11" s="8"/>
      <c r="F11" s="8"/>
      <c r="G11" s="8"/>
      <c r="H11" s="8"/>
      <c r="I11" s="14"/>
      <c r="J11" s="6"/>
      <c r="K11" s="7"/>
      <c r="L11" s="7"/>
      <c r="M11" s="7"/>
      <c r="N11" s="7"/>
      <c r="O11" s="7"/>
      <c r="P11" s="7"/>
      <c r="Q11" s="7"/>
      <c r="R11" s="7"/>
    </row>
    <row r="12" spans="1:18" ht="12.75" customHeight="1">
      <c r="A12" s="24"/>
      <c r="B12" s="25"/>
      <c r="C12" s="8" t="s">
        <v>12</v>
      </c>
      <c r="D12"/>
      <c r="E12" s="8"/>
      <c r="F12" s="8"/>
      <c r="G12" s="8"/>
      <c r="H12" s="38"/>
      <c r="I12" s="14"/>
      <c r="J12" s="6"/>
      <c r="K12" s="7"/>
      <c r="L12" s="7"/>
      <c r="M12" s="7"/>
      <c r="N12" s="7"/>
      <c r="O12" s="7"/>
      <c r="P12" s="7"/>
      <c r="Q12" s="7"/>
      <c r="R12" s="7"/>
    </row>
    <row r="13" spans="1:18" ht="12.75" customHeight="1">
      <c r="A13" s="24"/>
      <c r="B13" s="25"/>
      <c r="C13" s="8" t="s">
        <v>13</v>
      </c>
      <c r="D13"/>
      <c r="E13" s="8"/>
      <c r="F13" s="8"/>
      <c r="G13" s="8"/>
      <c r="H13" s="38"/>
      <c r="I13" s="14"/>
      <c r="J13" s="6"/>
      <c r="K13" s="7"/>
      <c r="L13" s="7"/>
      <c r="M13" s="7"/>
      <c r="N13" s="7"/>
      <c r="O13" s="7"/>
      <c r="P13" s="7"/>
      <c r="Q13" s="7"/>
      <c r="R13" s="7"/>
    </row>
    <row r="14" spans="1:18" ht="12.75" customHeight="1">
      <c r="A14" s="24"/>
      <c r="B14" s="25"/>
      <c r="C14" s="8" t="s">
        <v>14</v>
      </c>
      <c r="D14" s="39"/>
      <c r="E14" s="8"/>
      <c r="F14" s="8"/>
      <c r="G14" s="8"/>
      <c r="H14" s="38"/>
      <c r="I14" s="14"/>
      <c r="J14" s="6"/>
      <c r="K14" s="7"/>
      <c r="L14" s="7"/>
      <c r="M14" s="7"/>
      <c r="N14" s="7"/>
      <c r="O14" s="7"/>
      <c r="P14" s="7"/>
      <c r="Q14" s="7"/>
      <c r="R14" s="7"/>
    </row>
    <row r="15" spans="1:18" ht="12.75" customHeight="1" thickBot="1">
      <c r="A15" s="10"/>
      <c r="B15" s="25"/>
      <c r="C15" s="25"/>
      <c r="D15" s="8"/>
      <c r="E15" s="8"/>
      <c r="F15" s="8"/>
      <c r="G15" s="25" t="s">
        <v>15</v>
      </c>
      <c r="H15" s="25" t="s">
        <v>16</v>
      </c>
      <c r="I15" s="14"/>
      <c r="J15" s="6"/>
      <c r="K15" s="7"/>
      <c r="L15" s="7"/>
      <c r="M15" s="7"/>
      <c r="N15" s="7"/>
      <c r="O15" s="7"/>
      <c r="P15" s="7"/>
      <c r="Q15" s="7"/>
      <c r="R15" s="7"/>
    </row>
    <row r="16" spans="1:18" ht="12.75" customHeight="1" thickBot="1" thickTop="1">
      <c r="A16" s="24"/>
      <c r="B16" s="40" t="s">
        <v>17</v>
      </c>
      <c r="C16" s="40"/>
      <c r="D16" s="8"/>
      <c r="E16" s="8"/>
      <c r="F16" s="41" t="s">
        <v>18</v>
      </c>
      <c r="G16" s="42">
        <v>49200</v>
      </c>
      <c r="H16" s="42">
        <v>60000</v>
      </c>
      <c r="I16" s="14"/>
      <c r="J16" s="6"/>
      <c r="K16" s="7"/>
      <c r="L16" s="7"/>
      <c r="M16" s="7"/>
      <c r="N16" s="7"/>
      <c r="O16" s="7"/>
      <c r="P16" s="7"/>
      <c r="Q16" s="7"/>
      <c r="R16" s="7"/>
    </row>
    <row r="17" spans="1:18" ht="12.75" customHeight="1" thickTop="1">
      <c r="A17" s="10"/>
      <c r="B17" s="40"/>
      <c r="C17" s="40"/>
      <c r="D17" s="40"/>
      <c r="E17" s="8"/>
      <c r="F17" s="41" t="s">
        <v>19</v>
      </c>
      <c r="G17" s="42">
        <v>51200</v>
      </c>
      <c r="H17" s="42">
        <v>60000</v>
      </c>
      <c r="I17" s="14"/>
      <c r="J17" s="6"/>
      <c r="K17" s="7"/>
      <c r="L17" s="7"/>
      <c r="M17" s="7"/>
      <c r="N17" s="7"/>
      <c r="O17" s="7"/>
      <c r="P17" s="7"/>
      <c r="Q17" s="7"/>
      <c r="R17" s="7"/>
    </row>
    <row r="18" spans="1:18" ht="12.75" customHeight="1">
      <c r="A18" s="10"/>
      <c r="B18" s="25"/>
      <c r="C18" s="25"/>
      <c r="D18" s="12" t="s">
        <v>20</v>
      </c>
      <c r="E18" s="43">
        <v>86.61</v>
      </c>
      <c r="F18" s="12" t="s">
        <v>21</v>
      </c>
      <c r="G18" s="11" t="s">
        <v>22</v>
      </c>
      <c r="H18" s="44"/>
      <c r="I18" s="14"/>
      <c r="J18" s="6"/>
      <c r="K18" s="7"/>
      <c r="L18" s="7"/>
      <c r="M18" s="7"/>
      <c r="N18" s="7"/>
      <c r="O18" s="7"/>
      <c r="P18" s="7"/>
      <c r="Q18" s="7"/>
      <c r="R18" s="7"/>
    </row>
    <row r="19" spans="1:18" ht="12.75" customHeight="1">
      <c r="A19" s="10"/>
      <c r="B19" s="25"/>
      <c r="C19" s="25"/>
      <c r="D19" s="12" t="s">
        <v>23</v>
      </c>
      <c r="E19" s="43">
        <v>34.39</v>
      </c>
      <c r="F19" s="41"/>
      <c r="G19" s="8" t="s">
        <v>24</v>
      </c>
      <c r="H19" s="44"/>
      <c r="I19" s="14"/>
      <c r="J19" s="6"/>
      <c r="K19" s="7"/>
      <c r="L19" s="7"/>
      <c r="M19" s="7"/>
      <c r="N19" s="7"/>
      <c r="O19" s="7"/>
      <c r="P19" s="7"/>
      <c r="Q19" s="7"/>
      <c r="R19" s="7"/>
    </row>
    <row r="20" spans="1:18" ht="12.75" customHeight="1">
      <c r="A20" s="10"/>
      <c r="B20" s="25"/>
      <c r="C20" s="25"/>
      <c r="D20" s="12" t="s">
        <v>25</v>
      </c>
      <c r="E20" s="45">
        <v>221.38</v>
      </c>
      <c r="F20" s="8"/>
      <c r="G20" s="46"/>
      <c r="H20" s="46"/>
      <c r="I20" s="14"/>
      <c r="J20" s="6"/>
      <c r="K20" s="7"/>
      <c r="L20" s="7"/>
      <c r="M20" s="7"/>
      <c r="N20" s="7"/>
      <c r="O20" s="7"/>
      <c r="P20" s="7"/>
      <c r="Q20" s="7"/>
      <c r="R20" s="7"/>
    </row>
    <row r="21" spans="1:18" ht="12.75" customHeight="1">
      <c r="A21" s="24"/>
      <c r="B21" s="25"/>
      <c r="C21" s="25"/>
      <c r="D21" s="12" t="s">
        <v>26</v>
      </c>
      <c r="E21" s="47">
        <v>91300</v>
      </c>
      <c r="F21" s="48"/>
      <c r="G21" s="49" t="s">
        <v>27</v>
      </c>
      <c r="H21" s="50" t="s">
        <v>28</v>
      </c>
      <c r="I21" s="14"/>
      <c r="J21" s="6"/>
      <c r="K21" s="7"/>
      <c r="L21" s="7"/>
      <c r="M21" s="7"/>
      <c r="N21" s="7"/>
      <c r="O21" s="7"/>
      <c r="P21" s="7"/>
      <c r="Q21" s="7"/>
      <c r="R21" s="7"/>
    </row>
    <row r="22" spans="1:18" ht="12.75" customHeight="1">
      <c r="A22" s="24"/>
      <c r="B22" s="25"/>
      <c r="C22" s="25"/>
      <c r="D22" s="8"/>
      <c r="E22" s="51"/>
      <c r="F22" s="52"/>
      <c r="G22" s="53" t="s">
        <v>29</v>
      </c>
      <c r="H22" s="53" t="s">
        <v>29</v>
      </c>
      <c r="I22" s="14"/>
      <c r="J22" s="6"/>
      <c r="K22" s="7"/>
      <c r="L22" s="54" t="s">
        <v>30</v>
      </c>
      <c r="M22" s="7"/>
      <c r="N22" s="7"/>
      <c r="O22" s="7"/>
      <c r="P22" s="7"/>
      <c r="Q22" s="7"/>
      <c r="R22" s="7"/>
    </row>
    <row r="23" spans="1:18" ht="12.75" customHeight="1">
      <c r="A23" s="24"/>
      <c r="B23" s="25"/>
      <c r="C23" s="25"/>
      <c r="D23" s="55"/>
      <c r="E23" s="56" t="s">
        <v>31</v>
      </c>
      <c r="F23" s="56" t="s">
        <v>32</v>
      </c>
      <c r="G23" s="57" t="s">
        <v>33</v>
      </c>
      <c r="H23" s="57" t="s">
        <v>33</v>
      </c>
      <c r="I23" s="14"/>
      <c r="J23" s="6"/>
      <c r="K23" s="7"/>
      <c r="L23" s="54" t="s">
        <v>34</v>
      </c>
      <c r="M23" s="54" t="s">
        <v>15</v>
      </c>
      <c r="N23" s="54" t="s">
        <v>16</v>
      </c>
      <c r="O23" s="7"/>
      <c r="P23" s="7"/>
      <c r="Q23" s="7"/>
      <c r="R23" s="7"/>
    </row>
    <row r="24" spans="1:18" s="69" customFormat="1" ht="12.75" customHeight="1">
      <c r="A24" s="58" t="s">
        <v>35</v>
      </c>
      <c r="B24" s="59"/>
      <c r="C24" s="60" t="s">
        <v>36</v>
      </c>
      <c r="D24" s="61"/>
      <c r="E24" s="62">
        <v>107.53</v>
      </c>
      <c r="F24" s="63">
        <v>43256</v>
      </c>
      <c r="G24" s="63">
        <f>E24*F24/$E$20</f>
        <v>21010.559580811274</v>
      </c>
      <c r="H24" s="63">
        <f>F24-G24</f>
        <v>22245.440419188726</v>
      </c>
      <c r="I24" s="64"/>
      <c r="J24" s="65"/>
      <c r="K24" s="66" t="b">
        <v>1</v>
      </c>
      <c r="L24" s="67">
        <f aca="true" t="shared" si="0" ref="L24:L30">IF(K24=FALSE,0,+$F24)</f>
        <v>43256</v>
      </c>
      <c r="M24" s="67">
        <f aca="true" t="shared" si="1" ref="M24:M30">IF(K24=FALSE,0,(+E24*F24)/$E$20)</f>
        <v>21010.559580811274</v>
      </c>
      <c r="N24" s="67">
        <f aca="true" t="shared" si="2" ref="N24:N30">IF(K24=FALSE,0,+F24-G24)</f>
        <v>22245.440419188726</v>
      </c>
      <c r="O24" s="68"/>
      <c r="P24" s="68"/>
      <c r="Q24" s="68"/>
      <c r="R24" s="68"/>
    </row>
    <row r="25" spans="1:18" s="69" customFormat="1" ht="12.75" customHeight="1">
      <c r="A25" s="58" t="s">
        <v>35</v>
      </c>
      <c r="B25" s="59"/>
      <c r="C25" s="70" t="s">
        <v>37</v>
      </c>
      <c r="D25" s="71"/>
      <c r="E25" s="62">
        <v>-36.75</v>
      </c>
      <c r="F25" s="72">
        <v>13223</v>
      </c>
      <c r="G25" s="72">
        <f>E25*F25/$E$20</f>
        <v>-2195.0729514861323</v>
      </c>
      <c r="H25" s="72">
        <f>F25-G25</f>
        <v>15418.072951486132</v>
      </c>
      <c r="I25" s="64"/>
      <c r="J25" s="65"/>
      <c r="K25" s="66" t="b">
        <v>1</v>
      </c>
      <c r="L25" s="67">
        <f t="shared" si="0"/>
        <v>13223</v>
      </c>
      <c r="M25" s="67">
        <f t="shared" si="1"/>
        <v>-2195.0729514861323</v>
      </c>
      <c r="N25" s="67">
        <f t="shared" si="2"/>
        <v>15418.072951486132</v>
      </c>
      <c r="O25" s="68"/>
      <c r="P25" s="68"/>
      <c r="Q25" s="68"/>
      <c r="R25" s="68"/>
    </row>
    <row r="26" spans="1:18" s="69" customFormat="1" ht="12.75" customHeight="1">
      <c r="A26" s="73"/>
      <c r="B26" s="59"/>
      <c r="C26" s="70" t="s">
        <v>38</v>
      </c>
      <c r="D26" s="71"/>
      <c r="E26" s="62">
        <v>188.45</v>
      </c>
      <c r="F26" s="72">
        <v>20621</v>
      </c>
      <c r="G26" s="72">
        <f>E26*F26/$E$20</f>
        <v>17553.65186557051</v>
      </c>
      <c r="H26" s="72">
        <f>F26-G26</f>
        <v>3067.3481344294887</v>
      </c>
      <c r="I26" s="64"/>
      <c r="J26" s="65"/>
      <c r="K26" s="66" t="b">
        <v>1</v>
      </c>
      <c r="L26" s="67">
        <f t="shared" si="0"/>
        <v>20621</v>
      </c>
      <c r="M26" s="67">
        <f t="shared" si="1"/>
        <v>17553.65186557051</v>
      </c>
      <c r="N26" s="67">
        <f t="shared" si="2"/>
        <v>3067.3481344294887</v>
      </c>
      <c r="O26" s="68"/>
      <c r="P26" s="68"/>
      <c r="Q26" s="68"/>
      <c r="R26" s="68"/>
    </row>
    <row r="27" spans="1:18" s="69" customFormat="1" ht="12.75" customHeight="1">
      <c r="A27" s="73"/>
      <c r="B27" s="59"/>
      <c r="C27" s="70" t="s">
        <v>39</v>
      </c>
      <c r="D27" s="71"/>
      <c r="E27" s="62">
        <v>123.91</v>
      </c>
      <c r="F27" s="72">
        <v>2674</v>
      </c>
      <c r="G27" s="72">
        <f>E27*F27/$E$20</f>
        <v>1496.6814527057547</v>
      </c>
      <c r="H27" s="72">
        <f>F27-G27</f>
        <v>1177.3185472942453</v>
      </c>
      <c r="I27" s="64"/>
      <c r="J27" s="65"/>
      <c r="K27" s="66" t="b">
        <v>1</v>
      </c>
      <c r="L27" s="67">
        <f t="shared" si="0"/>
        <v>2674</v>
      </c>
      <c r="M27" s="67">
        <f t="shared" si="1"/>
        <v>1496.6814527057547</v>
      </c>
      <c r="N27" s="67">
        <f t="shared" si="2"/>
        <v>1177.3185472942453</v>
      </c>
      <c r="O27" s="68"/>
      <c r="P27" s="68"/>
      <c r="Q27" s="68"/>
      <c r="R27" s="68"/>
    </row>
    <row r="28" spans="1:18" s="69" customFormat="1" ht="12.75" customHeight="1">
      <c r="A28" s="73"/>
      <c r="B28" s="59"/>
      <c r="C28" s="60" t="s">
        <v>40</v>
      </c>
      <c r="D28" s="61"/>
      <c r="E28" s="62">
        <v>460.84</v>
      </c>
      <c r="F28" s="72">
        <v>130</v>
      </c>
      <c r="G28" s="72">
        <f>E28*F28/$E$20</f>
        <v>270.6170385762038</v>
      </c>
      <c r="H28" s="72">
        <f>F28-G28</f>
        <v>-140.6170385762038</v>
      </c>
      <c r="I28" s="64"/>
      <c r="J28" s="65"/>
      <c r="K28" s="66" t="b">
        <v>1</v>
      </c>
      <c r="L28" s="67">
        <f t="shared" si="0"/>
        <v>130</v>
      </c>
      <c r="M28" s="67">
        <f t="shared" si="1"/>
        <v>270.6170385762038</v>
      </c>
      <c r="N28" s="67">
        <f t="shared" si="2"/>
        <v>-140.6170385762038</v>
      </c>
      <c r="O28" s="68"/>
      <c r="P28" s="68"/>
      <c r="Q28" s="68"/>
      <c r="R28" s="68"/>
    </row>
    <row r="29" spans="1:18" s="69" customFormat="1" ht="12.75" customHeight="1">
      <c r="A29" s="58" t="s">
        <v>35</v>
      </c>
      <c r="B29" s="59"/>
      <c r="C29" s="60"/>
      <c r="D29" s="61"/>
      <c r="E29" s="74"/>
      <c r="F29" s="72"/>
      <c r="G29" s="72"/>
      <c r="H29" s="72"/>
      <c r="I29" s="64"/>
      <c r="J29" s="65"/>
      <c r="K29" s="66" t="b">
        <v>0</v>
      </c>
      <c r="L29" s="67">
        <f t="shared" si="0"/>
        <v>0</v>
      </c>
      <c r="M29" s="67">
        <f t="shared" si="1"/>
        <v>0</v>
      </c>
      <c r="N29" s="67">
        <f t="shared" si="2"/>
        <v>0</v>
      </c>
      <c r="O29" s="68"/>
      <c r="P29" s="68"/>
      <c r="Q29" s="68"/>
      <c r="R29" s="68"/>
    </row>
    <row r="30" spans="1:18" ht="12.75" customHeight="1" thickBot="1">
      <c r="A30" s="75" t="s">
        <v>35</v>
      </c>
      <c r="B30" s="25"/>
      <c r="C30" s="76"/>
      <c r="D30" s="77"/>
      <c r="E30" s="78"/>
      <c r="F30" s="79"/>
      <c r="G30" s="79"/>
      <c r="H30" s="79"/>
      <c r="I30" s="14"/>
      <c r="J30" s="6"/>
      <c r="K30" s="80" t="b">
        <v>1</v>
      </c>
      <c r="L30" s="81">
        <f t="shared" si="0"/>
        <v>0</v>
      </c>
      <c r="M30" s="81">
        <f t="shared" si="1"/>
        <v>0</v>
      </c>
      <c r="N30" s="81">
        <f t="shared" si="2"/>
        <v>0</v>
      </c>
      <c r="O30" s="7"/>
      <c r="P30" s="7"/>
      <c r="Q30" s="7"/>
      <c r="R30" s="7"/>
    </row>
    <row r="31" spans="1:18" ht="12.75" customHeight="1" thickTop="1">
      <c r="A31" s="24"/>
      <c r="B31" s="25"/>
      <c r="C31" s="82"/>
      <c r="D31" s="83" t="s">
        <v>41</v>
      </c>
      <c r="E31" s="84">
        <f>G31*$E$20/F31</f>
        <v>105.65984706647977</v>
      </c>
      <c r="F31" s="85">
        <f>L31</f>
        <v>79904</v>
      </c>
      <c r="G31" s="85">
        <f>M31</f>
        <v>38136.436986177614</v>
      </c>
      <c r="H31" s="85">
        <f>N31</f>
        <v>41767.563013822386</v>
      </c>
      <c r="I31" s="14"/>
      <c r="J31" s="6"/>
      <c r="K31" s="80"/>
      <c r="L31" s="86">
        <f>SUM(L24:L30)</f>
        <v>79904</v>
      </c>
      <c r="M31" s="86">
        <f>SUM(M24:M30)</f>
        <v>38136.436986177614</v>
      </c>
      <c r="N31" s="86">
        <f>SUM(N24:N30)</f>
        <v>41767.563013822386</v>
      </c>
      <c r="O31" s="7"/>
      <c r="P31" s="7"/>
      <c r="Q31" s="7"/>
      <c r="R31" s="7"/>
    </row>
    <row r="32" spans="1:18" ht="12.75" customHeight="1">
      <c r="A32" s="24"/>
      <c r="B32" s="25"/>
      <c r="C32" s="25"/>
      <c r="D32" s="8"/>
      <c r="E32" s="87"/>
      <c r="F32" s="88"/>
      <c r="G32" s="88"/>
      <c r="H32" s="88"/>
      <c r="I32" s="14"/>
      <c r="J32" s="6"/>
      <c r="K32" s="80"/>
      <c r="L32" s="89"/>
      <c r="M32" s="89"/>
      <c r="N32" s="89"/>
      <c r="O32" s="7"/>
      <c r="P32" s="7"/>
      <c r="Q32" s="7"/>
      <c r="R32" s="7"/>
    </row>
    <row r="33" spans="1:18" ht="12.75" customHeight="1">
      <c r="A33" s="24"/>
      <c r="B33" s="25"/>
      <c r="C33" s="90" t="s">
        <v>42</v>
      </c>
      <c r="D33" s="91"/>
      <c r="E33" s="91"/>
      <c r="F33" s="91"/>
      <c r="G33" s="91"/>
      <c r="H33" s="92"/>
      <c r="I33" s="93"/>
      <c r="J33" s="6"/>
      <c r="K33" s="80"/>
      <c r="L33" s="89"/>
      <c r="M33" s="89"/>
      <c r="N33" s="89"/>
      <c r="O33" s="7"/>
      <c r="P33" s="7"/>
      <c r="Q33" s="7"/>
      <c r="R33" s="7"/>
    </row>
    <row r="34" spans="1:18" s="69" customFormat="1" ht="12.75" customHeight="1">
      <c r="A34" s="73"/>
      <c r="B34" s="59"/>
      <c r="C34" s="94" t="s">
        <v>43</v>
      </c>
      <c r="D34" s="95"/>
      <c r="E34" s="62">
        <v>251.97</v>
      </c>
      <c r="F34" s="63">
        <v>2645</v>
      </c>
      <c r="G34" s="63">
        <f>E34*F34/$E$20</f>
        <v>3010.4826542596443</v>
      </c>
      <c r="H34" s="63">
        <f>F34-G34</f>
        <v>-365.4826542596443</v>
      </c>
      <c r="I34" s="64"/>
      <c r="J34" s="65"/>
      <c r="K34" s="66" t="b">
        <v>1</v>
      </c>
      <c r="L34" s="67">
        <f>IF(K34=FALSE,0,+$F34)</f>
        <v>2645</v>
      </c>
      <c r="M34" s="67">
        <f>IF(K34=FALSE,0,(+E34*F34)/$E$20)</f>
        <v>3010.4826542596443</v>
      </c>
      <c r="N34" s="67">
        <f>IF(K34=FALSE,0,+F34-G34)</f>
        <v>-365.4826542596443</v>
      </c>
      <c r="O34" s="68"/>
      <c r="P34" s="68"/>
      <c r="Q34" s="68"/>
      <c r="R34" s="68"/>
    </row>
    <row r="35" spans="1:18" s="69" customFormat="1" ht="12.75" customHeight="1">
      <c r="A35" s="73"/>
      <c r="B35" s="59"/>
      <c r="C35" s="60" t="s">
        <v>44</v>
      </c>
      <c r="D35" s="61"/>
      <c r="E35" s="62">
        <v>283.01</v>
      </c>
      <c r="F35" s="72">
        <v>1827</v>
      </c>
      <c r="G35" s="72">
        <f>E35*F35/$E$20</f>
        <v>2335.618709910561</v>
      </c>
      <c r="H35" s="72">
        <f>F35-G35</f>
        <v>-508.61870991056094</v>
      </c>
      <c r="I35" s="64"/>
      <c r="J35" s="65"/>
      <c r="K35" s="66" t="b">
        <v>0</v>
      </c>
      <c r="L35" s="67">
        <f>IF(K35=FALSE,0,+$F35)</f>
        <v>0</v>
      </c>
      <c r="M35" s="67">
        <f>IF(K35=FALSE,0,(+E35*F35)/$E$20)</f>
        <v>0</v>
      </c>
      <c r="N35" s="67">
        <f>IF(K35=FALSE,0,+F35-G35)</f>
        <v>0</v>
      </c>
      <c r="O35" s="68"/>
      <c r="P35" s="68"/>
      <c r="Q35" s="68"/>
      <c r="R35" s="68"/>
    </row>
    <row r="36" spans="1:18" s="69" customFormat="1" ht="12.75" customHeight="1">
      <c r="A36" s="73"/>
      <c r="B36" s="59"/>
      <c r="C36" s="96" t="s">
        <v>45</v>
      </c>
      <c r="D36" s="97"/>
      <c r="E36" s="62">
        <v>196.78</v>
      </c>
      <c r="F36" s="72">
        <v>351</v>
      </c>
      <c r="G36" s="72">
        <f>E36*F36/$E$20</f>
        <v>311.9964766464902</v>
      </c>
      <c r="H36" s="72">
        <f>F36-G36</f>
        <v>39.00352335350982</v>
      </c>
      <c r="I36" s="64"/>
      <c r="J36" s="65"/>
      <c r="K36" s="66" t="b">
        <v>1</v>
      </c>
      <c r="L36" s="67">
        <f>IF(K36=FALSE,0,+$F36)</f>
        <v>351</v>
      </c>
      <c r="M36" s="67">
        <f>IF(K36=FALSE,0,(+E36*F36)/$E$20)</f>
        <v>311.9964766464902</v>
      </c>
      <c r="N36" s="67">
        <f>IF(K36=FALSE,0,+F36-G36)</f>
        <v>39.00352335350982</v>
      </c>
      <c r="O36" s="68"/>
      <c r="P36" s="68"/>
      <c r="Q36" s="68"/>
      <c r="R36" s="68"/>
    </row>
    <row r="37" spans="1:18" s="69" customFormat="1" ht="12.75" customHeight="1">
      <c r="A37" s="73"/>
      <c r="B37" s="59"/>
      <c r="C37" s="98" t="s">
        <v>46</v>
      </c>
      <c r="D37" s="99"/>
      <c r="E37" s="100">
        <v>556.84</v>
      </c>
      <c r="F37" s="101">
        <v>875</v>
      </c>
      <c r="G37" s="72">
        <f>E37*F37/$E$20</f>
        <v>2200.898906856988</v>
      </c>
      <c r="H37" s="72">
        <f>F37-G37</f>
        <v>-1325.898906856988</v>
      </c>
      <c r="I37" s="64"/>
      <c r="J37" s="65"/>
      <c r="K37" s="66" t="b">
        <v>0</v>
      </c>
      <c r="L37" s="67">
        <f>IF(K37=FALSE,0,+$F37)</f>
        <v>0</v>
      </c>
      <c r="M37" s="67">
        <f>IF(K37=FALSE,0,(+E37*F37)/$E$20)</f>
        <v>0</v>
      </c>
      <c r="N37" s="67">
        <f>IF(K37=FALSE,0,+F37-G37)</f>
        <v>0</v>
      </c>
      <c r="O37" s="68"/>
      <c r="P37" s="68"/>
      <c r="Q37" s="68"/>
      <c r="R37" s="68"/>
    </row>
    <row r="38" spans="1:18" s="69" customFormat="1" ht="12.75" customHeight="1">
      <c r="A38" s="73"/>
      <c r="B38" s="59"/>
      <c r="C38" s="90" t="s">
        <v>47</v>
      </c>
      <c r="D38" s="91"/>
      <c r="E38" s="91"/>
      <c r="F38" s="91"/>
      <c r="G38" s="91"/>
      <c r="H38" s="92"/>
      <c r="I38" s="64"/>
      <c r="J38" s="65"/>
      <c r="K38" s="66"/>
      <c r="L38" s="67"/>
      <c r="M38" s="67"/>
      <c r="N38" s="67"/>
      <c r="O38" s="68"/>
      <c r="P38" s="68"/>
      <c r="Q38" s="68"/>
      <c r="R38" s="68"/>
    </row>
    <row r="39" spans="1:18" s="69" customFormat="1" ht="12.75" customHeight="1">
      <c r="A39" s="73"/>
      <c r="B39" s="59"/>
      <c r="C39" s="96" t="s">
        <v>48</v>
      </c>
      <c r="D39" s="102"/>
      <c r="E39" s="62">
        <v>-117.61</v>
      </c>
      <c r="F39" s="72">
        <v>4016</v>
      </c>
      <c r="G39" s="63">
        <f aca="true" t="shared" si="3" ref="G39:G47">E39*F39/$E$20</f>
        <v>-2133.5340139127293</v>
      </c>
      <c r="H39" s="63">
        <f aca="true" t="shared" si="4" ref="H39:H47">F39-G39</f>
        <v>6149.534013912729</v>
      </c>
      <c r="I39" s="64"/>
      <c r="J39" s="65"/>
      <c r="K39" s="66" t="b">
        <v>1</v>
      </c>
      <c r="L39" s="67">
        <f aca="true" t="shared" si="5" ref="L39:L61">IF(K39=FALSE,0,+$F39)</f>
        <v>4016</v>
      </c>
      <c r="M39" s="67">
        <f aca="true" t="shared" si="6" ref="M39:M61">IF(K39=FALSE,0,(+E39*F39)/$E$20)</f>
        <v>-2133.5340139127293</v>
      </c>
      <c r="N39" s="67">
        <f aca="true" t="shared" si="7" ref="N39:N61">IF(K39=FALSE,0,+F39-G39)</f>
        <v>6149.534013912729</v>
      </c>
      <c r="O39" s="68"/>
      <c r="P39" s="68"/>
      <c r="Q39" s="68"/>
      <c r="R39" s="68"/>
    </row>
    <row r="40" spans="1:18" s="69" customFormat="1" ht="12.75" customHeight="1">
      <c r="A40" s="73"/>
      <c r="B40" s="59"/>
      <c r="C40" s="96" t="s">
        <v>49</v>
      </c>
      <c r="D40" s="102"/>
      <c r="E40" s="62">
        <v>-117.61</v>
      </c>
      <c r="F40" s="72">
        <v>4013</v>
      </c>
      <c r="G40" s="63">
        <f t="shared" si="3"/>
        <v>-2131.94023850393</v>
      </c>
      <c r="H40" s="63">
        <f t="shared" si="4"/>
        <v>6144.94023850393</v>
      </c>
      <c r="I40" s="64"/>
      <c r="J40" s="65"/>
      <c r="K40" s="66" t="b">
        <v>0</v>
      </c>
      <c r="L40" s="67">
        <f t="shared" si="5"/>
        <v>0</v>
      </c>
      <c r="M40" s="67">
        <f t="shared" si="6"/>
        <v>0</v>
      </c>
      <c r="N40" s="67">
        <f t="shared" si="7"/>
        <v>0</v>
      </c>
      <c r="O40" s="68"/>
      <c r="P40" s="68"/>
      <c r="Q40" s="68"/>
      <c r="R40" s="68"/>
    </row>
    <row r="41" spans="1:18" s="69" customFormat="1" ht="12.75" customHeight="1">
      <c r="A41" s="73"/>
      <c r="B41" s="59"/>
      <c r="C41" s="96" t="s">
        <v>50</v>
      </c>
      <c r="D41" s="102"/>
      <c r="E41" s="62">
        <v>186.39</v>
      </c>
      <c r="F41" s="72">
        <v>4013</v>
      </c>
      <c r="G41" s="63">
        <f t="shared" si="3"/>
        <v>3378.7291986629325</v>
      </c>
      <c r="H41" s="63">
        <f t="shared" si="4"/>
        <v>634.2708013370675</v>
      </c>
      <c r="I41" s="64"/>
      <c r="J41" s="65"/>
      <c r="K41" s="66" t="b">
        <v>1</v>
      </c>
      <c r="L41" s="67">
        <f t="shared" si="5"/>
        <v>4013</v>
      </c>
      <c r="M41" s="67">
        <f t="shared" si="6"/>
        <v>3378.7291986629325</v>
      </c>
      <c r="N41" s="67">
        <f t="shared" si="7"/>
        <v>634.2708013370675</v>
      </c>
      <c r="O41" s="68"/>
      <c r="P41" s="68"/>
      <c r="Q41" s="68"/>
      <c r="R41" s="68"/>
    </row>
    <row r="42" spans="1:18" s="69" customFormat="1" ht="12.75" customHeight="1">
      <c r="A42" s="73"/>
      <c r="B42" s="59"/>
      <c r="C42" s="96" t="s">
        <v>49</v>
      </c>
      <c r="D42" s="102"/>
      <c r="E42" s="62">
        <v>-117.61</v>
      </c>
      <c r="F42" s="72">
        <v>4013</v>
      </c>
      <c r="G42" s="63">
        <f t="shared" si="3"/>
        <v>-2131.94023850393</v>
      </c>
      <c r="H42" s="63">
        <f t="shared" si="4"/>
        <v>6144.94023850393</v>
      </c>
      <c r="I42" s="64"/>
      <c r="J42" s="65"/>
      <c r="K42" s="66" t="b">
        <v>0</v>
      </c>
      <c r="L42" s="67">
        <f t="shared" si="5"/>
        <v>0</v>
      </c>
      <c r="M42" s="67">
        <f t="shared" si="6"/>
        <v>0</v>
      </c>
      <c r="N42" s="67">
        <f t="shared" si="7"/>
        <v>0</v>
      </c>
      <c r="O42" s="68"/>
      <c r="P42" s="68"/>
      <c r="Q42" s="68"/>
      <c r="R42" s="68"/>
    </row>
    <row r="43" spans="1:18" s="69" customFormat="1" ht="12.75" customHeight="1">
      <c r="A43" s="73"/>
      <c r="B43" s="59"/>
      <c r="C43" s="96" t="s">
        <v>50</v>
      </c>
      <c r="D43" s="102"/>
      <c r="E43" s="62">
        <v>186.39</v>
      </c>
      <c r="F43" s="72">
        <v>4013</v>
      </c>
      <c r="G43" s="63">
        <f t="shared" si="3"/>
        <v>3378.7291986629325</v>
      </c>
      <c r="H43" s="63">
        <f t="shared" si="4"/>
        <v>634.2708013370675</v>
      </c>
      <c r="I43" s="64"/>
      <c r="J43" s="65"/>
      <c r="K43" s="66" t="b">
        <v>0</v>
      </c>
      <c r="L43" s="67">
        <f t="shared" si="5"/>
        <v>0</v>
      </c>
      <c r="M43" s="67">
        <f t="shared" si="6"/>
        <v>0</v>
      </c>
      <c r="N43" s="67">
        <f t="shared" si="7"/>
        <v>0</v>
      </c>
      <c r="O43" s="68"/>
      <c r="P43" s="68"/>
      <c r="Q43" s="68"/>
      <c r="R43" s="68"/>
    </row>
    <row r="44" spans="1:18" s="69" customFormat="1" ht="12.75" customHeight="1">
      <c r="A44" s="73"/>
      <c r="B44" s="59"/>
      <c r="C44" s="96" t="s">
        <v>51</v>
      </c>
      <c r="D44" s="102"/>
      <c r="E44" s="62">
        <v>-117.61</v>
      </c>
      <c r="F44" s="72">
        <v>6013</v>
      </c>
      <c r="G44" s="63">
        <f t="shared" si="3"/>
        <v>-3194.4571777034967</v>
      </c>
      <c r="H44" s="63">
        <f t="shared" si="4"/>
        <v>9207.457177703496</v>
      </c>
      <c r="I44" s="64"/>
      <c r="J44" s="65"/>
      <c r="K44" s="66" t="b">
        <v>1</v>
      </c>
      <c r="L44" s="67">
        <f t="shared" si="5"/>
        <v>6013</v>
      </c>
      <c r="M44" s="67">
        <f t="shared" si="6"/>
        <v>-3194.4571777034967</v>
      </c>
      <c r="N44" s="67">
        <f t="shared" si="7"/>
        <v>9207.457177703496</v>
      </c>
      <c r="O44" s="68"/>
      <c r="P44" s="68"/>
      <c r="Q44" s="68"/>
      <c r="R44" s="68"/>
    </row>
    <row r="45" spans="1:18" s="69" customFormat="1" ht="12.75" customHeight="1">
      <c r="A45" s="73"/>
      <c r="B45" s="59"/>
      <c r="C45" s="96" t="s">
        <v>52</v>
      </c>
      <c r="D45" s="102"/>
      <c r="E45" s="103">
        <v>186.39</v>
      </c>
      <c r="F45" s="101">
        <v>6013</v>
      </c>
      <c r="G45" s="104">
        <f t="shared" si="3"/>
        <v>5062.621149155298</v>
      </c>
      <c r="H45" s="104">
        <f t="shared" si="4"/>
        <v>950.3788508447024</v>
      </c>
      <c r="I45" s="64"/>
      <c r="J45" s="65"/>
      <c r="K45" s="66" t="b">
        <v>0</v>
      </c>
      <c r="L45" s="67">
        <f t="shared" si="5"/>
        <v>0</v>
      </c>
      <c r="M45" s="67">
        <f t="shared" si="6"/>
        <v>0</v>
      </c>
      <c r="N45" s="67">
        <f t="shared" si="7"/>
        <v>0</v>
      </c>
      <c r="O45" s="68"/>
      <c r="P45" s="68"/>
      <c r="Q45" s="68"/>
      <c r="R45" s="68"/>
    </row>
    <row r="46" spans="1:18" s="69" customFormat="1" ht="12.75" customHeight="1">
      <c r="A46" s="73"/>
      <c r="B46" s="59"/>
      <c r="C46" s="96" t="s">
        <v>53</v>
      </c>
      <c r="D46" s="102"/>
      <c r="E46" s="105">
        <v>-113.25</v>
      </c>
      <c r="F46" s="106">
        <v>6000</v>
      </c>
      <c r="G46" s="106">
        <f t="shared" si="3"/>
        <v>-3069.382961423796</v>
      </c>
      <c r="H46" s="106">
        <f t="shared" si="4"/>
        <v>9069.382961423797</v>
      </c>
      <c r="I46" s="64"/>
      <c r="J46" s="65"/>
      <c r="K46" s="66" t="b">
        <v>0</v>
      </c>
      <c r="L46" s="67">
        <f t="shared" si="5"/>
        <v>0</v>
      </c>
      <c r="M46" s="67">
        <f t="shared" si="6"/>
        <v>0</v>
      </c>
      <c r="N46" s="67">
        <f t="shared" si="7"/>
        <v>0</v>
      </c>
      <c r="O46" s="68"/>
      <c r="P46" s="68"/>
      <c r="Q46" s="68"/>
      <c r="R46" s="68"/>
    </row>
    <row r="47" spans="1:18" s="69" customFormat="1" ht="12.75" customHeight="1">
      <c r="A47" s="73"/>
      <c r="B47" s="59"/>
      <c r="C47" s="96" t="s">
        <v>54</v>
      </c>
      <c r="D47" s="102"/>
      <c r="E47" s="105">
        <v>182.03</v>
      </c>
      <c r="F47" s="106">
        <v>6000</v>
      </c>
      <c r="G47" s="106">
        <f t="shared" si="3"/>
        <v>4933.507995302195</v>
      </c>
      <c r="H47" s="106">
        <f t="shared" si="4"/>
        <v>1066.492004697805</v>
      </c>
      <c r="I47" s="64"/>
      <c r="J47" s="65"/>
      <c r="K47" s="66" t="b">
        <v>0</v>
      </c>
      <c r="L47" s="67">
        <f t="shared" si="5"/>
        <v>0</v>
      </c>
      <c r="M47" s="67">
        <f t="shared" si="6"/>
        <v>0</v>
      </c>
      <c r="N47" s="67">
        <f t="shared" si="7"/>
        <v>0</v>
      </c>
      <c r="O47" s="68"/>
      <c r="P47" s="68"/>
      <c r="Q47" s="68"/>
      <c r="R47" s="68"/>
    </row>
    <row r="48" spans="1:18" s="69" customFormat="1" ht="12.75" customHeight="1">
      <c r="A48" s="73"/>
      <c r="B48" s="59"/>
      <c r="C48" s="90" t="s">
        <v>55</v>
      </c>
      <c r="D48" s="91"/>
      <c r="E48" s="91"/>
      <c r="F48" s="91"/>
      <c r="G48" s="91"/>
      <c r="H48" s="92"/>
      <c r="I48" s="64"/>
      <c r="J48" s="65"/>
      <c r="K48" s="66" t="b">
        <v>1</v>
      </c>
      <c r="L48" s="67">
        <f t="shared" si="5"/>
        <v>0</v>
      </c>
      <c r="M48" s="67">
        <f t="shared" si="6"/>
        <v>0</v>
      </c>
      <c r="N48" s="67">
        <f t="shared" si="7"/>
        <v>0</v>
      </c>
      <c r="O48" s="68"/>
      <c r="P48" s="68"/>
      <c r="Q48" s="68"/>
      <c r="R48" s="68"/>
    </row>
    <row r="49" spans="1:18" s="69" customFormat="1" ht="12.75" customHeight="1">
      <c r="A49" s="107"/>
      <c r="B49" s="59"/>
      <c r="C49" s="60" t="s">
        <v>56</v>
      </c>
      <c r="D49" s="61"/>
      <c r="E49" s="62">
        <v>326.71</v>
      </c>
      <c r="F49" s="72">
        <v>568</v>
      </c>
      <c r="G49" s="72">
        <f>E49*F49/$E$20</f>
        <v>838.2477188544584</v>
      </c>
      <c r="H49" s="72">
        <f>F49-G49</f>
        <v>-270.2477188544584</v>
      </c>
      <c r="I49" s="64"/>
      <c r="J49" s="65"/>
      <c r="K49" s="66" t="b">
        <v>1</v>
      </c>
      <c r="L49" s="67">
        <f t="shared" si="5"/>
        <v>568</v>
      </c>
      <c r="M49" s="67">
        <f t="shared" si="6"/>
        <v>838.2477188544584</v>
      </c>
      <c r="N49" s="67">
        <f t="shared" si="7"/>
        <v>-270.2477188544584</v>
      </c>
      <c r="O49" s="68"/>
      <c r="P49" s="68"/>
      <c r="Q49" s="68"/>
      <c r="R49" s="68"/>
    </row>
    <row r="50" spans="1:18" s="69" customFormat="1" ht="12.75" customHeight="1">
      <c r="A50" s="107"/>
      <c r="B50" s="59"/>
      <c r="C50" s="60" t="s">
        <v>57</v>
      </c>
      <c r="D50" s="61"/>
      <c r="E50" s="74">
        <v>357</v>
      </c>
      <c r="F50" s="72">
        <v>1275</v>
      </c>
      <c r="G50" s="72">
        <f>E50*F50/$E$20</f>
        <v>2056.080043364351</v>
      </c>
      <c r="H50" s="72">
        <f>F50-G50</f>
        <v>-781.0800433643508</v>
      </c>
      <c r="I50" s="64"/>
      <c r="J50" s="65"/>
      <c r="K50" s="66" t="b">
        <v>0</v>
      </c>
      <c r="L50" s="67">
        <f t="shared" si="5"/>
        <v>0</v>
      </c>
      <c r="M50" s="67">
        <f t="shared" si="6"/>
        <v>0</v>
      </c>
      <c r="N50" s="67">
        <f t="shared" si="7"/>
        <v>0</v>
      </c>
      <c r="O50" s="68"/>
      <c r="P50" s="68"/>
      <c r="Q50" s="68"/>
      <c r="R50" s="68"/>
    </row>
    <row r="51" spans="1:18" s="69" customFormat="1" ht="12.75" customHeight="1">
      <c r="A51" s="107"/>
      <c r="B51" s="59"/>
      <c r="C51" s="60" t="s">
        <v>58</v>
      </c>
      <c r="D51" s="61"/>
      <c r="E51" s="74">
        <v>357</v>
      </c>
      <c r="F51" s="72">
        <v>823</v>
      </c>
      <c r="G51" s="72">
        <f>E51*F51/$E$20</f>
        <v>1327.1795103442046</v>
      </c>
      <c r="H51" s="72">
        <f>F51-G51</f>
        <v>-504.1795103442046</v>
      </c>
      <c r="I51" s="64"/>
      <c r="J51" s="65"/>
      <c r="K51" s="66" t="b">
        <v>1</v>
      </c>
      <c r="L51" s="67">
        <f t="shared" si="5"/>
        <v>823</v>
      </c>
      <c r="M51" s="67">
        <f t="shared" si="6"/>
        <v>1327.1795103442046</v>
      </c>
      <c r="N51" s="67">
        <f t="shared" si="7"/>
        <v>-504.1795103442046</v>
      </c>
      <c r="O51" s="68"/>
      <c r="P51" s="68"/>
      <c r="Q51" s="68"/>
      <c r="R51" s="68"/>
    </row>
    <row r="52" spans="1:18" s="69" customFormat="1" ht="12.75" customHeight="1">
      <c r="A52" s="107"/>
      <c r="B52" s="59"/>
      <c r="C52" s="60" t="s">
        <v>59</v>
      </c>
      <c r="D52" s="61"/>
      <c r="E52" s="74">
        <v>67.25</v>
      </c>
      <c r="F52" s="72">
        <v>100</v>
      </c>
      <c r="G52" s="72">
        <f>E52*F52/$E$20</f>
        <v>30.377631222332642</v>
      </c>
      <c r="H52" s="72">
        <f>F52-G52</f>
        <v>69.62236877766736</v>
      </c>
      <c r="I52" s="64"/>
      <c r="J52" s="65"/>
      <c r="K52" s="66" t="b">
        <v>1</v>
      </c>
      <c r="L52" s="67">
        <f t="shared" si="5"/>
        <v>100</v>
      </c>
      <c r="M52" s="67">
        <f t="shared" si="6"/>
        <v>30.377631222332642</v>
      </c>
      <c r="N52" s="67">
        <f t="shared" si="7"/>
        <v>69.62236877766736</v>
      </c>
      <c r="O52" s="68"/>
      <c r="P52" s="68"/>
      <c r="Q52" s="68"/>
      <c r="R52" s="68"/>
    </row>
    <row r="53" spans="1:18" s="69" customFormat="1" ht="12.75" customHeight="1">
      <c r="A53" s="107"/>
      <c r="B53" s="59"/>
      <c r="C53" s="60" t="s">
        <v>60</v>
      </c>
      <c r="D53" s="61"/>
      <c r="E53" s="74">
        <v>-14</v>
      </c>
      <c r="F53" s="72">
        <v>400</v>
      </c>
      <c r="G53" s="72">
        <f>E53*F53/$E$20</f>
        <v>-25.295871352425692</v>
      </c>
      <c r="H53" s="72">
        <f>F53-G53</f>
        <v>425.2958713524257</v>
      </c>
      <c r="I53" s="64"/>
      <c r="J53" s="65"/>
      <c r="K53" s="66" t="b">
        <v>1</v>
      </c>
      <c r="L53" s="67">
        <f t="shared" si="5"/>
        <v>400</v>
      </c>
      <c r="M53" s="67">
        <f t="shared" si="6"/>
        <v>-25.295871352425692</v>
      </c>
      <c r="N53" s="67">
        <f t="shared" si="7"/>
        <v>425.2958713524257</v>
      </c>
      <c r="O53" s="68"/>
      <c r="P53" s="68"/>
      <c r="Q53" s="68"/>
      <c r="R53" s="68"/>
    </row>
    <row r="54" spans="1:18" s="69" customFormat="1" ht="12.75" customHeight="1">
      <c r="A54" s="107"/>
      <c r="B54" s="59"/>
      <c r="C54" s="90" t="s">
        <v>61</v>
      </c>
      <c r="D54" s="91"/>
      <c r="E54" s="91"/>
      <c r="F54" s="91"/>
      <c r="G54" s="91"/>
      <c r="H54" s="92"/>
      <c r="I54" s="64"/>
      <c r="J54" s="65"/>
      <c r="K54" s="66"/>
      <c r="L54" s="67">
        <f t="shared" si="5"/>
        <v>0</v>
      </c>
      <c r="M54" s="67">
        <f t="shared" si="6"/>
        <v>0</v>
      </c>
      <c r="N54" s="67">
        <f t="shared" si="7"/>
        <v>0</v>
      </c>
      <c r="O54" s="68"/>
      <c r="P54" s="68"/>
      <c r="Q54" s="68"/>
      <c r="R54" s="68"/>
    </row>
    <row r="55" spans="1:18" s="69" customFormat="1" ht="12.75" customHeight="1">
      <c r="A55" s="107"/>
      <c r="B55" s="59"/>
      <c r="C55" s="60" t="s">
        <v>62</v>
      </c>
      <c r="D55" s="61"/>
      <c r="E55" s="74">
        <v>-86</v>
      </c>
      <c r="F55" s="72">
        <v>26</v>
      </c>
      <c r="G55" s="72">
        <f>E55*F55/$E$20</f>
        <v>-10.10028006143283</v>
      </c>
      <c r="H55" s="72">
        <f>F55-G55</f>
        <v>36.10028006143283</v>
      </c>
      <c r="I55" s="64"/>
      <c r="J55" s="65"/>
      <c r="K55" s="66" t="b">
        <v>0</v>
      </c>
      <c r="L55" s="67">
        <f t="shared" si="5"/>
        <v>0</v>
      </c>
      <c r="M55" s="67">
        <f t="shared" si="6"/>
        <v>0</v>
      </c>
      <c r="N55" s="67">
        <f t="shared" si="7"/>
        <v>0</v>
      </c>
      <c r="O55" s="68"/>
      <c r="P55" s="68"/>
      <c r="Q55" s="68"/>
      <c r="R55" s="68"/>
    </row>
    <row r="56" spans="1:18" s="69" customFormat="1" ht="12.75" customHeight="1">
      <c r="A56" s="107"/>
      <c r="B56" s="59"/>
      <c r="C56" s="60" t="s">
        <v>63</v>
      </c>
      <c r="D56" s="61"/>
      <c r="E56" s="74">
        <v>281</v>
      </c>
      <c r="F56" s="72">
        <v>63</v>
      </c>
      <c r="G56" s="72">
        <f>E56*F56/$E$20</f>
        <v>79.96657331285573</v>
      </c>
      <c r="H56" s="72">
        <f>F56-G56</f>
        <v>-16.96657331285573</v>
      </c>
      <c r="I56" s="64"/>
      <c r="J56" s="65"/>
      <c r="K56" s="66" t="b">
        <v>0</v>
      </c>
      <c r="L56" s="67">
        <f t="shared" si="5"/>
        <v>0</v>
      </c>
      <c r="M56" s="67">
        <f t="shared" si="6"/>
        <v>0</v>
      </c>
      <c r="N56" s="67">
        <f t="shared" si="7"/>
        <v>0</v>
      </c>
      <c r="O56" s="68"/>
      <c r="P56" s="68"/>
      <c r="Q56" s="68"/>
      <c r="R56" s="68"/>
    </row>
    <row r="57" spans="1:18" s="69" customFormat="1" ht="12.75" customHeight="1">
      <c r="A57" s="107"/>
      <c r="B57" s="59"/>
      <c r="C57" s="60" t="s">
        <v>64</v>
      </c>
      <c r="D57" s="61"/>
      <c r="E57" s="74">
        <v>-36.61</v>
      </c>
      <c r="F57" s="72">
        <v>193</v>
      </c>
      <c r="G57" s="72">
        <f>E57*F57/$E$20</f>
        <v>-31.916749480531212</v>
      </c>
      <c r="H57" s="72">
        <f>F57-G57</f>
        <v>224.91674948053122</v>
      </c>
      <c r="I57" s="64"/>
      <c r="J57" s="65"/>
      <c r="K57" s="66" t="b">
        <v>0</v>
      </c>
      <c r="L57" s="67">
        <f t="shared" si="5"/>
        <v>0</v>
      </c>
      <c r="M57" s="67">
        <f t="shared" si="6"/>
        <v>0</v>
      </c>
      <c r="N57" s="67">
        <f t="shared" si="7"/>
        <v>0</v>
      </c>
      <c r="O57" s="68"/>
      <c r="P57" s="68"/>
      <c r="Q57" s="68"/>
      <c r="R57" s="68"/>
    </row>
    <row r="58" spans="1:18" s="69" customFormat="1" ht="12.75" customHeight="1">
      <c r="A58" s="107"/>
      <c r="B58" s="59"/>
      <c r="C58" s="60" t="s">
        <v>65</v>
      </c>
      <c r="D58" s="61"/>
      <c r="E58" s="74">
        <v>325</v>
      </c>
      <c r="F58" s="72">
        <v>20</v>
      </c>
      <c r="G58" s="72">
        <f>E58*F58/$E$20</f>
        <v>29.361279248351252</v>
      </c>
      <c r="H58" s="72">
        <f>F58-G58</f>
        <v>-9.361279248351252</v>
      </c>
      <c r="I58" s="64"/>
      <c r="J58" s="65"/>
      <c r="K58" s="66" t="b">
        <v>0</v>
      </c>
      <c r="L58" s="67">
        <f t="shared" si="5"/>
        <v>0</v>
      </c>
      <c r="M58" s="67">
        <f t="shared" si="6"/>
        <v>0</v>
      </c>
      <c r="N58" s="67">
        <f t="shared" si="7"/>
        <v>0</v>
      </c>
      <c r="O58" s="68"/>
      <c r="P58" s="68"/>
      <c r="Q58" s="68"/>
      <c r="R58" s="68"/>
    </row>
    <row r="59" spans="1:18" s="69" customFormat="1" ht="12.75" customHeight="1">
      <c r="A59" s="107"/>
      <c r="B59" s="59"/>
      <c r="C59" s="60" t="s">
        <v>66</v>
      </c>
      <c r="D59" s="61"/>
      <c r="E59" s="62">
        <v>299.45</v>
      </c>
      <c r="F59" s="72">
        <v>200</v>
      </c>
      <c r="G59" s="72">
        <f>E59*F59/$E$20</f>
        <v>270.53030987442406</v>
      </c>
      <c r="H59" s="72">
        <f>F59-G59</f>
        <v>-70.53030987442406</v>
      </c>
      <c r="I59" s="64"/>
      <c r="J59" s="65"/>
      <c r="K59" s="66" t="b">
        <v>1</v>
      </c>
      <c r="L59" s="67">
        <f t="shared" si="5"/>
        <v>200</v>
      </c>
      <c r="M59" s="67">
        <f t="shared" si="6"/>
        <v>270.53030987442406</v>
      </c>
      <c r="N59" s="67">
        <f t="shared" si="7"/>
        <v>-70.53030987442406</v>
      </c>
      <c r="O59" s="68"/>
      <c r="P59" s="68"/>
      <c r="Q59" s="68"/>
      <c r="R59" s="68"/>
    </row>
    <row r="60" spans="1:18" s="69" customFormat="1" ht="12.75" customHeight="1">
      <c r="A60" s="107"/>
      <c r="B60" s="59"/>
      <c r="C60" s="60"/>
      <c r="D60" s="61"/>
      <c r="E60" s="62"/>
      <c r="F60" s="72"/>
      <c r="G60" s="72"/>
      <c r="H60" s="72"/>
      <c r="I60" s="64"/>
      <c r="J60" s="65"/>
      <c r="K60" s="66" t="b">
        <v>0</v>
      </c>
      <c r="L60" s="67">
        <f t="shared" si="5"/>
        <v>0</v>
      </c>
      <c r="M60" s="67">
        <f t="shared" si="6"/>
        <v>0</v>
      </c>
      <c r="N60" s="67">
        <f t="shared" si="7"/>
        <v>0</v>
      </c>
      <c r="O60" s="68"/>
      <c r="P60" s="68"/>
      <c r="Q60" s="68"/>
      <c r="R60" s="68"/>
    </row>
    <row r="61" spans="1:18" s="69" customFormat="1" ht="12.75" customHeight="1" thickBot="1">
      <c r="A61" s="107"/>
      <c r="B61" s="59"/>
      <c r="C61" s="60"/>
      <c r="D61" s="61"/>
      <c r="E61" s="62"/>
      <c r="F61" s="72"/>
      <c r="G61" s="72"/>
      <c r="H61" s="72"/>
      <c r="I61" s="64"/>
      <c r="J61" s="65"/>
      <c r="K61" s="66" t="b">
        <v>0</v>
      </c>
      <c r="L61" s="67">
        <f t="shared" si="5"/>
        <v>0</v>
      </c>
      <c r="M61" s="67">
        <f t="shared" si="6"/>
        <v>0</v>
      </c>
      <c r="N61" s="67">
        <f t="shared" si="7"/>
        <v>0</v>
      </c>
      <c r="O61" s="68"/>
      <c r="P61" s="68"/>
      <c r="Q61" s="68"/>
      <c r="R61" s="68"/>
    </row>
    <row r="62" spans="1:18" ht="12.75" customHeight="1" thickTop="1">
      <c r="A62" s="24"/>
      <c r="B62" s="25"/>
      <c r="C62" s="82"/>
      <c r="D62" s="83" t="s">
        <v>67</v>
      </c>
      <c r="E62" s="84">
        <f>G62*$E$20/F62</f>
        <v>93.77727131360254</v>
      </c>
      <c r="F62" s="85">
        <f>L62</f>
        <v>99033</v>
      </c>
      <c r="G62" s="85">
        <f>M62</f>
        <v>41950.69342307345</v>
      </c>
      <c r="H62" s="85">
        <f>N62</f>
        <v>57082.30657692655</v>
      </c>
      <c r="I62" s="14"/>
      <c r="J62" s="6"/>
      <c r="K62" s="80"/>
      <c r="L62" s="86">
        <f>F31+SUM(L34:L61)</f>
        <v>99033</v>
      </c>
      <c r="M62" s="86">
        <f>G31+SUM(M34:M61)</f>
        <v>41950.69342307345</v>
      </c>
      <c r="N62" s="86">
        <f>H31+SUM(N34:N61)</f>
        <v>57082.30657692655</v>
      </c>
      <c r="O62" s="7"/>
      <c r="P62" s="7"/>
      <c r="Q62" s="7"/>
      <c r="R62" s="7"/>
    </row>
    <row r="63" spans="1:18" ht="12.75" customHeight="1">
      <c r="A63" s="24"/>
      <c r="B63" s="25"/>
      <c r="C63" s="25"/>
      <c r="D63" s="108"/>
      <c r="E63" s="109"/>
      <c r="F63" s="110"/>
      <c r="G63" s="110"/>
      <c r="H63" s="110"/>
      <c r="I63" s="14"/>
      <c r="J63" s="6"/>
      <c r="K63" s="80"/>
      <c r="L63" s="89"/>
      <c r="M63" s="89"/>
      <c r="N63" s="89"/>
      <c r="O63" s="7"/>
      <c r="P63" s="7"/>
      <c r="Q63" s="7"/>
      <c r="R63" s="7"/>
    </row>
    <row r="64" spans="1:18" s="69" customFormat="1" ht="12.75" customHeight="1">
      <c r="A64" s="107"/>
      <c r="B64" s="59"/>
      <c r="C64" s="90" t="s">
        <v>68</v>
      </c>
      <c r="D64" s="91"/>
      <c r="E64" s="91"/>
      <c r="F64" s="91"/>
      <c r="G64" s="91"/>
      <c r="H64" s="92"/>
      <c r="I64" s="64"/>
      <c r="J64" s="65"/>
      <c r="K64" s="66" t="b">
        <v>0</v>
      </c>
      <c r="L64" s="67">
        <f aca="true" t="shared" si="8" ref="L64:L74">IF(K64=FALSE,0,+$F64)</f>
        <v>0</v>
      </c>
      <c r="M64" s="67">
        <f aca="true" t="shared" si="9" ref="M64:M74">IF(K64=FALSE,0,(+E64*F64)/$E$20)</f>
        <v>0</v>
      </c>
      <c r="N64" s="67">
        <f aca="true" t="shared" si="10" ref="N64:N74">IF(K64=FALSE,0,+F64-G64)</f>
        <v>0</v>
      </c>
      <c r="O64" s="68"/>
      <c r="P64" s="68"/>
      <c r="Q64" s="68"/>
      <c r="R64" s="68"/>
    </row>
    <row r="65" spans="1:18" s="69" customFormat="1" ht="12.75" customHeight="1">
      <c r="A65" s="107"/>
      <c r="B65" s="59"/>
      <c r="C65" s="60" t="s">
        <v>69</v>
      </c>
      <c r="D65" s="61" t="s">
        <v>70</v>
      </c>
      <c r="E65" s="62">
        <v>-118.61</v>
      </c>
      <c r="F65" s="72">
        <v>-345</v>
      </c>
      <c r="G65" s="72">
        <f aca="true" t="shared" si="11" ref="G65:G71">E65*F65/$E$20</f>
        <v>184.84257837202998</v>
      </c>
      <c r="H65" s="72">
        <f aca="true" t="shared" si="12" ref="H65:H71">F65-G65</f>
        <v>-529.84257837203</v>
      </c>
      <c r="I65" s="64"/>
      <c r="J65" s="65"/>
      <c r="K65" s="66" t="b">
        <v>0</v>
      </c>
      <c r="L65" s="67">
        <f t="shared" si="8"/>
        <v>0</v>
      </c>
      <c r="M65" s="67">
        <f t="shared" si="9"/>
        <v>0</v>
      </c>
      <c r="N65" s="67">
        <f t="shared" si="10"/>
        <v>0</v>
      </c>
      <c r="O65" s="68"/>
      <c r="P65" s="68"/>
      <c r="Q65" s="68"/>
      <c r="R65" s="68"/>
    </row>
    <row r="66" spans="1:18" s="69" customFormat="1" ht="12.75" customHeight="1">
      <c r="A66" s="107"/>
      <c r="B66" s="59"/>
      <c r="C66" s="60" t="s">
        <v>71</v>
      </c>
      <c r="D66" s="61" t="s">
        <v>72</v>
      </c>
      <c r="E66" s="62">
        <v>-90.61</v>
      </c>
      <c r="F66" s="72">
        <v>-600</v>
      </c>
      <c r="G66" s="72">
        <f t="shared" si="11"/>
        <v>245.57773963320986</v>
      </c>
      <c r="H66" s="72">
        <f t="shared" si="12"/>
        <v>-845.5777396332098</v>
      </c>
      <c r="I66" s="64"/>
      <c r="J66" s="65"/>
      <c r="K66" s="66" t="b">
        <v>0</v>
      </c>
      <c r="L66" s="67">
        <f t="shared" si="8"/>
        <v>0</v>
      </c>
      <c r="M66" s="67">
        <f t="shared" si="9"/>
        <v>0</v>
      </c>
      <c r="N66" s="67">
        <f t="shared" si="10"/>
        <v>0</v>
      </c>
      <c r="O66" s="68"/>
      <c r="P66" s="68"/>
      <c r="Q66" s="68"/>
      <c r="R66" s="68"/>
    </row>
    <row r="67" spans="1:18" s="69" customFormat="1" ht="12.75" customHeight="1">
      <c r="A67" s="107"/>
      <c r="B67" s="59"/>
      <c r="C67" s="60" t="s">
        <v>71</v>
      </c>
      <c r="D67" s="61" t="s">
        <v>73</v>
      </c>
      <c r="E67" s="62">
        <v>-124.61</v>
      </c>
      <c r="F67" s="72">
        <v>-789</v>
      </c>
      <c r="G67" s="72">
        <f t="shared" si="11"/>
        <v>444.11098563555873</v>
      </c>
      <c r="H67" s="72">
        <f t="shared" si="12"/>
        <v>-1233.1109856355588</v>
      </c>
      <c r="I67" s="64"/>
      <c r="J67" s="65"/>
      <c r="K67" s="66" t="b">
        <v>0</v>
      </c>
      <c r="L67" s="67">
        <f t="shared" si="8"/>
        <v>0</v>
      </c>
      <c r="M67" s="67">
        <f t="shared" si="9"/>
        <v>0</v>
      </c>
      <c r="N67" s="67">
        <f t="shared" si="10"/>
        <v>0</v>
      </c>
      <c r="O67" s="68"/>
      <c r="P67" s="68"/>
      <c r="Q67" s="68"/>
      <c r="R67" s="68"/>
    </row>
    <row r="68" spans="1:18" s="69" customFormat="1" ht="12.75" customHeight="1">
      <c r="A68" s="107"/>
      <c r="B68" s="59"/>
      <c r="C68" s="60" t="s">
        <v>69</v>
      </c>
      <c r="D68" s="61" t="s">
        <v>74</v>
      </c>
      <c r="E68" s="62">
        <v>-90.61</v>
      </c>
      <c r="F68" s="72">
        <v>189</v>
      </c>
      <c r="G68" s="72">
        <f t="shared" si="11"/>
        <v>-77.35698798446111</v>
      </c>
      <c r="H68" s="72">
        <f t="shared" si="12"/>
        <v>266.3569879844611</v>
      </c>
      <c r="I68" s="64"/>
      <c r="J68" s="65"/>
      <c r="K68" s="66" t="b">
        <v>0</v>
      </c>
      <c r="L68" s="67">
        <f t="shared" si="8"/>
        <v>0</v>
      </c>
      <c r="M68" s="67">
        <f t="shared" si="9"/>
        <v>0</v>
      </c>
      <c r="N68" s="67">
        <f t="shared" si="10"/>
        <v>0</v>
      </c>
      <c r="O68" s="68"/>
      <c r="P68" s="68"/>
      <c r="Q68" s="68"/>
      <c r="R68" s="68"/>
    </row>
    <row r="69" spans="1:18" s="69" customFormat="1" ht="12.75" customHeight="1">
      <c r="A69" s="107"/>
      <c r="B69" s="59"/>
      <c r="C69" s="60" t="s">
        <v>69</v>
      </c>
      <c r="D69" s="61" t="s">
        <v>75</v>
      </c>
      <c r="E69" s="62">
        <v>18</v>
      </c>
      <c r="F69" s="72">
        <v>-72</v>
      </c>
      <c r="G69" s="72">
        <f t="shared" si="11"/>
        <v>-5.854187370132803</v>
      </c>
      <c r="H69" s="72">
        <f t="shared" si="12"/>
        <v>-66.1458126298672</v>
      </c>
      <c r="I69" s="64"/>
      <c r="J69" s="65"/>
      <c r="K69" s="66" t="b">
        <v>0</v>
      </c>
      <c r="L69" s="67">
        <f t="shared" si="8"/>
        <v>0</v>
      </c>
      <c r="M69" s="67">
        <f t="shared" si="9"/>
        <v>0</v>
      </c>
      <c r="N69" s="67">
        <f t="shared" si="10"/>
        <v>0</v>
      </c>
      <c r="O69" s="68"/>
      <c r="P69" s="68"/>
      <c r="Q69" s="68"/>
      <c r="R69" s="68"/>
    </row>
    <row r="70" spans="1:18" s="69" customFormat="1" ht="12.75" customHeight="1">
      <c r="A70" s="73"/>
      <c r="B70" s="59"/>
      <c r="C70" s="60" t="s">
        <v>69</v>
      </c>
      <c r="D70" s="61" t="s">
        <v>76</v>
      </c>
      <c r="E70" s="62">
        <v>-7</v>
      </c>
      <c r="F70" s="72">
        <v>132</v>
      </c>
      <c r="G70" s="72">
        <f t="shared" si="11"/>
        <v>-4.17381877315024</v>
      </c>
      <c r="H70" s="72">
        <f t="shared" si="12"/>
        <v>136.17381877315023</v>
      </c>
      <c r="I70" s="64"/>
      <c r="J70" s="65"/>
      <c r="K70" s="66" t="b">
        <v>0</v>
      </c>
      <c r="L70" s="67">
        <f t="shared" si="8"/>
        <v>0</v>
      </c>
      <c r="M70" s="67">
        <f t="shared" si="9"/>
        <v>0</v>
      </c>
      <c r="N70" s="67">
        <f t="shared" si="10"/>
        <v>0</v>
      </c>
      <c r="O70" s="68"/>
      <c r="P70" s="68"/>
      <c r="Q70" s="68"/>
      <c r="R70" s="68"/>
    </row>
    <row r="71" spans="1:18" s="69" customFormat="1" ht="12.75" customHeight="1">
      <c r="A71" s="73"/>
      <c r="B71" s="59"/>
      <c r="C71" s="60" t="s">
        <v>69</v>
      </c>
      <c r="D71" s="61" t="s">
        <v>77</v>
      </c>
      <c r="E71" s="74">
        <v>7</v>
      </c>
      <c r="F71" s="72">
        <v>124</v>
      </c>
      <c r="G71" s="72">
        <f t="shared" si="11"/>
        <v>3.9208600596259826</v>
      </c>
      <c r="H71" s="72">
        <f t="shared" si="12"/>
        <v>120.07913994037402</v>
      </c>
      <c r="I71" s="64"/>
      <c r="J71" s="65"/>
      <c r="K71" s="66" t="b">
        <v>0</v>
      </c>
      <c r="L71" s="67">
        <f t="shared" si="8"/>
        <v>0</v>
      </c>
      <c r="M71" s="67">
        <f t="shared" si="9"/>
        <v>0</v>
      </c>
      <c r="N71" s="67">
        <f t="shared" si="10"/>
        <v>0</v>
      </c>
      <c r="O71" s="68"/>
      <c r="P71" s="68"/>
      <c r="Q71" s="68"/>
      <c r="R71" s="68"/>
    </row>
    <row r="72" spans="1:18" s="69" customFormat="1" ht="12.75" customHeight="1">
      <c r="A72" s="73"/>
      <c r="B72" s="59"/>
      <c r="C72" s="60" t="s">
        <v>35</v>
      </c>
      <c r="D72" s="61" t="s">
        <v>35</v>
      </c>
      <c r="E72" s="62" t="s">
        <v>35</v>
      </c>
      <c r="F72" s="72" t="s">
        <v>35</v>
      </c>
      <c r="G72" s="72"/>
      <c r="H72" s="72"/>
      <c r="I72" s="64"/>
      <c r="J72" s="65"/>
      <c r="K72" s="66" t="b">
        <v>0</v>
      </c>
      <c r="L72" s="67">
        <f t="shared" si="8"/>
        <v>0</v>
      </c>
      <c r="M72" s="67">
        <f t="shared" si="9"/>
        <v>0</v>
      </c>
      <c r="N72" s="67">
        <f t="shared" si="10"/>
        <v>0</v>
      </c>
      <c r="O72" s="68"/>
      <c r="P72" s="68"/>
      <c r="Q72" s="68"/>
      <c r="R72" s="68"/>
    </row>
    <row r="73" spans="1:18" s="69" customFormat="1" ht="12.75" customHeight="1">
      <c r="A73" s="73"/>
      <c r="B73" s="59"/>
      <c r="C73" s="60"/>
      <c r="D73" s="61"/>
      <c r="E73" s="62"/>
      <c r="F73" s="72"/>
      <c r="G73" s="72"/>
      <c r="H73" s="72"/>
      <c r="I73" s="64"/>
      <c r="J73" s="65"/>
      <c r="K73" s="66" t="b">
        <v>0</v>
      </c>
      <c r="L73" s="67">
        <f t="shared" si="8"/>
        <v>0</v>
      </c>
      <c r="M73" s="67">
        <f t="shared" si="9"/>
        <v>0</v>
      </c>
      <c r="N73" s="67">
        <f t="shared" si="10"/>
        <v>0</v>
      </c>
      <c r="O73" s="68"/>
      <c r="P73" s="68"/>
      <c r="Q73" s="68"/>
      <c r="R73" s="68"/>
    </row>
    <row r="74" spans="1:18" ht="12.75" customHeight="1" thickBot="1">
      <c r="A74" s="24"/>
      <c r="B74" s="25"/>
      <c r="C74" s="111"/>
      <c r="D74" s="112"/>
      <c r="E74" s="113"/>
      <c r="F74" s="114"/>
      <c r="G74" s="114"/>
      <c r="H74" s="114"/>
      <c r="I74" s="14"/>
      <c r="J74" s="6"/>
      <c r="K74" s="80" t="b">
        <v>0</v>
      </c>
      <c r="L74" s="81">
        <f t="shared" si="8"/>
        <v>0</v>
      </c>
      <c r="M74" s="81">
        <f t="shared" si="9"/>
        <v>0</v>
      </c>
      <c r="N74" s="81">
        <f t="shared" si="10"/>
        <v>0</v>
      </c>
      <c r="O74" s="7"/>
      <c r="P74" s="7"/>
      <c r="Q74" s="7"/>
      <c r="R74" s="7"/>
    </row>
    <row r="75" spans="1:18" ht="12.75" customHeight="1" thickTop="1">
      <c r="A75" s="24"/>
      <c r="B75" s="25"/>
      <c r="C75" s="82"/>
      <c r="D75" s="83" t="s">
        <v>78</v>
      </c>
      <c r="E75" s="84">
        <f>G75*$E$20/F75</f>
        <v>93.77727131360254</v>
      </c>
      <c r="F75" s="85">
        <f>L75</f>
        <v>99033</v>
      </c>
      <c r="G75" s="85">
        <f>M75</f>
        <v>41950.69342307345</v>
      </c>
      <c r="H75" s="85">
        <f>N75</f>
        <v>57082.30657692655</v>
      </c>
      <c r="I75" s="14"/>
      <c r="J75" s="6"/>
      <c r="K75" s="80"/>
      <c r="L75" s="86">
        <f>L62+SUM(L64:L74)</f>
        <v>99033</v>
      </c>
      <c r="M75" s="86">
        <f>M62+SUM(M64:M74)</f>
        <v>41950.69342307345</v>
      </c>
      <c r="N75" s="86">
        <f>N62+SUM(N64:N74)</f>
        <v>57082.30657692655</v>
      </c>
      <c r="O75" s="7"/>
      <c r="P75" s="7"/>
      <c r="Q75" s="7"/>
      <c r="R75" s="7"/>
    </row>
    <row r="76" spans="1:18" ht="12.75" customHeight="1">
      <c r="A76" s="10"/>
      <c r="B76" s="25"/>
      <c r="C76" s="25"/>
      <c r="D76" s="8"/>
      <c r="E76" s="87"/>
      <c r="F76" s="88"/>
      <c r="G76" s="88"/>
      <c r="H76" s="88"/>
      <c r="I76" s="14"/>
      <c r="J76" s="6"/>
      <c r="K76" s="7"/>
      <c r="L76" s="7"/>
      <c r="M76" s="7"/>
      <c r="N76" s="7"/>
      <c r="O76" s="7"/>
      <c r="P76" s="7"/>
      <c r="Q76" s="7"/>
      <c r="R76" s="7"/>
    </row>
    <row r="77" spans="1:18" ht="12.75" customHeight="1">
      <c r="A77" s="10"/>
      <c r="B77" s="115" t="s">
        <v>79</v>
      </c>
      <c r="C77" s="115"/>
      <c r="D77" s="8"/>
      <c r="E77" s="8"/>
      <c r="F77" s="8"/>
      <c r="G77" s="8"/>
      <c r="H77" s="8"/>
      <c r="I77" s="14"/>
      <c r="J77" s="6"/>
      <c r="K77" s="7"/>
      <c r="L77" s="7"/>
      <c r="M77" s="7"/>
      <c r="N77" s="7"/>
      <c r="O77" s="7"/>
      <c r="P77" s="7"/>
      <c r="Q77" s="7"/>
      <c r="R77" s="7"/>
    </row>
    <row r="78" spans="1:18" ht="12.75" customHeight="1">
      <c r="A78" s="10"/>
      <c r="B78" s="115"/>
      <c r="C78" s="115"/>
      <c r="D78" s="116"/>
      <c r="E78" s="117"/>
      <c r="F78" s="118"/>
      <c r="G78" s="117"/>
      <c r="H78" s="8"/>
      <c r="I78" s="14"/>
      <c r="J78" s="6"/>
      <c r="K78" s="7"/>
      <c r="L78" s="7"/>
      <c r="M78" s="7"/>
      <c r="N78" s="7"/>
      <c r="O78" s="7"/>
      <c r="P78" s="7"/>
      <c r="Q78" s="7"/>
      <c r="R78" s="7"/>
    </row>
    <row r="79" spans="1:18" ht="12.75" customHeight="1">
      <c r="A79" s="119"/>
      <c r="B79" s="120"/>
      <c r="C79" s="120"/>
      <c r="D79" s="121" t="str">
        <f>VLOOKUP(N86,P82:Q97,2)</f>
        <v>WARNING: Total GVW exceeds target value.</v>
      </c>
      <c r="E79" s="55"/>
      <c r="F79" s="55"/>
      <c r="G79" s="55"/>
      <c r="H79" s="55"/>
      <c r="I79" s="122"/>
      <c r="J79" s="6"/>
      <c r="K79" s="7"/>
      <c r="L79" s="7"/>
      <c r="M79" s="7"/>
      <c r="N79" s="123"/>
      <c r="O79" s="7"/>
      <c r="P79" s="7"/>
      <c r="Q79" s="7"/>
      <c r="R79" s="7"/>
    </row>
    <row r="80" spans="1:18" ht="12.75" customHeight="1">
      <c r="A80" s="6"/>
      <c r="B80" s="124"/>
      <c r="C80" s="124"/>
      <c r="D80" s="125"/>
      <c r="E80" s="6"/>
      <c r="F80" s="6"/>
      <c r="G80" s="6"/>
      <c r="H80" s="6"/>
      <c r="I80" s="6"/>
      <c r="J80" s="6"/>
      <c r="K80" s="7"/>
      <c r="L80" s="7"/>
      <c r="M80" s="7"/>
      <c r="N80" s="123"/>
      <c r="O80" s="7"/>
      <c r="P80" s="7"/>
      <c r="Q80" s="7"/>
      <c r="R80" s="7"/>
    </row>
    <row r="81" spans="1:18" ht="12.75" customHeight="1">
      <c r="A81" s="7"/>
      <c r="B81" s="54"/>
      <c r="C81" s="54"/>
      <c r="D81" s="7"/>
      <c r="E81" s="7"/>
      <c r="F81" s="7"/>
      <c r="G81" s="7"/>
      <c r="H81" s="7"/>
      <c r="I81" s="7"/>
      <c r="J81" s="7"/>
      <c r="K81" s="33"/>
      <c r="L81" s="126" t="s">
        <v>80</v>
      </c>
      <c r="M81" s="7"/>
      <c r="N81" s="7"/>
      <c r="O81" s="7"/>
      <c r="P81" s="126" t="s">
        <v>81</v>
      </c>
      <c r="Q81" s="7"/>
      <c r="R81" s="7"/>
    </row>
    <row r="82" spans="1:18" ht="12.75" customHeight="1">
      <c r="A82" s="7"/>
      <c r="B82" s="54"/>
      <c r="C82" s="54"/>
      <c r="D82"/>
      <c r="E82"/>
      <c r="F82"/>
      <c r="G82"/>
      <c r="H82" s="7"/>
      <c r="I82" s="7"/>
      <c r="J82" s="7"/>
      <c r="K82" s="7"/>
      <c r="L82" s="7"/>
      <c r="M82" s="127" t="s">
        <v>15</v>
      </c>
      <c r="N82" s="127" t="s">
        <v>16</v>
      </c>
      <c r="O82" s="7"/>
      <c r="P82" s="128">
        <v>0</v>
      </c>
      <c r="Q82" s="126" t="s">
        <v>82</v>
      </c>
      <c r="R82" s="7"/>
    </row>
    <row r="83" spans="1:19" ht="12.75" customHeight="1">
      <c r="A83" s="7"/>
      <c r="B83" s="54"/>
      <c r="C83" s="54"/>
      <c r="D83"/>
      <c r="E83" s="7"/>
      <c r="F83" s="7"/>
      <c r="G83" s="7"/>
      <c r="H83" s="7"/>
      <c r="I83" s="7"/>
      <c r="J83" s="7"/>
      <c r="K83" s="7"/>
      <c r="L83" s="129" t="s">
        <v>83</v>
      </c>
      <c r="M83" s="81">
        <f>IF(OR(G75&gt;G16,G75&gt;G17),1,0)</f>
        <v>0</v>
      </c>
      <c r="N83" s="81">
        <f>IF(OR(H75&gt;H16,H75&gt;H17),2,0)</f>
        <v>0</v>
      </c>
      <c r="O83" s="7"/>
      <c r="P83" s="128">
        <v>1</v>
      </c>
      <c r="Q83" s="126" t="s">
        <v>84</v>
      </c>
      <c r="R83" s="123"/>
      <c r="S83" s="130"/>
    </row>
    <row r="84" spans="1:19" ht="12.75" customHeight="1">
      <c r="A84" s="7"/>
      <c r="B84" s="54"/>
      <c r="C84" s="54"/>
      <c r="D84"/>
      <c r="E84" s="7"/>
      <c r="F84" s="7"/>
      <c r="G84" s="7"/>
      <c r="H84" s="7"/>
      <c r="I84" s="7"/>
      <c r="J84" s="7"/>
      <c r="K84" s="7"/>
      <c r="L84" s="129" t="s">
        <v>85</v>
      </c>
      <c r="M84" s="81">
        <f>IF(F75&gt;$E$21,4,0)</f>
        <v>4</v>
      </c>
      <c r="N84" s="89"/>
      <c r="O84" s="7"/>
      <c r="P84" s="128">
        <v>2</v>
      </c>
      <c r="Q84" s="126" t="s">
        <v>86</v>
      </c>
      <c r="R84" s="123"/>
      <c r="S84" s="130"/>
    </row>
    <row r="85" spans="1:19" ht="12.75" customHeight="1">
      <c r="A85" s="7"/>
      <c r="B85" s="54"/>
      <c r="C85" s="54"/>
      <c r="D85" s="126"/>
      <c r="E85" s="7"/>
      <c r="F85" s="7"/>
      <c r="G85" s="7"/>
      <c r="H85" s="7"/>
      <c r="I85" s="7"/>
      <c r="J85" s="7"/>
      <c r="K85" s="7"/>
      <c r="L85" s="7"/>
      <c r="M85" s="89"/>
      <c r="N85" s="89"/>
      <c r="O85" s="7"/>
      <c r="P85" s="128">
        <v>3</v>
      </c>
      <c r="Q85" s="126" t="s">
        <v>87</v>
      </c>
      <c r="R85" s="123"/>
      <c r="S85" s="130"/>
    </row>
    <row r="86" spans="1:19" ht="12.75" customHeight="1">
      <c r="A86" s="7"/>
      <c r="B86" s="54"/>
      <c r="C86" s="54"/>
      <c r="D86" s="7"/>
      <c r="E86" s="7"/>
      <c r="F86" s="7"/>
      <c r="G86" s="7"/>
      <c r="H86" s="7"/>
      <c r="I86" s="7"/>
      <c r="J86" s="7"/>
      <c r="K86" s="7"/>
      <c r="L86" s="129" t="s">
        <v>88</v>
      </c>
      <c r="M86" s="81"/>
      <c r="N86" s="81">
        <f>M83+M84+N83</f>
        <v>4</v>
      </c>
      <c r="O86" s="7"/>
      <c r="P86" s="128">
        <v>4</v>
      </c>
      <c r="Q86" s="126" t="s">
        <v>89</v>
      </c>
      <c r="R86" s="123"/>
      <c r="S86" s="130"/>
    </row>
    <row r="87" spans="1:19" ht="12.75" customHeight="1">
      <c r="A87" s="7"/>
      <c r="B87" s="54"/>
      <c r="C87" s="5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28">
        <v>5</v>
      </c>
      <c r="Q87" s="126" t="s">
        <v>90</v>
      </c>
      <c r="R87" s="123"/>
      <c r="S87" s="130"/>
    </row>
    <row r="88" spans="1:19" ht="12.75" customHeight="1">
      <c r="A88" s="7"/>
      <c r="B88" s="54"/>
      <c r="C88" s="5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28">
        <v>6</v>
      </c>
      <c r="Q88" s="126" t="s">
        <v>91</v>
      </c>
      <c r="R88" s="123"/>
      <c r="S88" s="130"/>
    </row>
    <row r="89" spans="1:19" ht="12.75" customHeight="1">
      <c r="A89" s="7"/>
      <c r="B89" s="54"/>
      <c r="C89" s="5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28">
        <v>7</v>
      </c>
      <c r="Q89" s="126" t="s">
        <v>92</v>
      </c>
      <c r="R89" s="123"/>
      <c r="S89" s="130"/>
    </row>
    <row r="90" spans="1:18" ht="12.75" customHeight="1">
      <c r="A90" s="7"/>
      <c r="B90" s="54"/>
      <c r="C90" s="5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28"/>
      <c r="Q90" s="7"/>
      <c r="R90" s="7"/>
    </row>
    <row r="91" ht="12.75" customHeight="1">
      <c r="P91" s="132"/>
    </row>
    <row r="92" ht="12.75" customHeight="1">
      <c r="P92" s="132"/>
    </row>
    <row r="93" ht="12.75" customHeight="1">
      <c r="P93" s="132"/>
    </row>
    <row r="94" ht="12.75" customHeight="1">
      <c r="P94" s="132"/>
    </row>
    <row r="95" ht="12.75" customHeight="1">
      <c r="P95" s="132"/>
    </row>
    <row r="96" ht="12.75" customHeight="1">
      <c r="P96" s="132"/>
    </row>
    <row r="97" ht="12.75" customHeight="1">
      <c r="P97" s="132"/>
    </row>
  </sheetData>
  <mergeCells count="5">
    <mergeCell ref="C64:H64"/>
    <mergeCell ref="C33:H33"/>
    <mergeCell ref="C48:H48"/>
    <mergeCell ref="C54:H54"/>
    <mergeCell ref="C38:H38"/>
  </mergeCells>
  <printOptions horizontalCentered="1"/>
  <pageMargins left="0.75" right="0.75" top="0.5" bottom="0.5" header="0.5" footer="0.5"/>
  <pageSetup fitToHeight="1" fitToWidth="1" horizontalDpi="600" verticalDpi="600" orientation="portrait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showGridLines="0" showOutlineSymbols="0" zoomScale="75" zoomScaleNormal="75" workbookViewId="0" topLeftCell="A1">
      <selection activeCell="H100" sqref="H100"/>
    </sheetView>
  </sheetViews>
  <sheetFormatPr defaultColWidth="8.796875" defaultRowHeight="15"/>
  <cols>
    <col min="1" max="1" width="1.796875" style="139" customWidth="1"/>
    <col min="2" max="2" width="8.796875" style="139" customWidth="1"/>
    <col min="3" max="3" width="14.09765625" style="139" customWidth="1"/>
    <col min="4" max="4" width="7.8984375" style="139" customWidth="1"/>
    <col min="5" max="5" width="11.09765625" style="139" customWidth="1"/>
    <col min="6" max="6" width="10.59765625" style="139" customWidth="1"/>
    <col min="7" max="7" width="9.09765625" style="301" customWidth="1"/>
    <col min="8" max="8" width="8.09765625" style="139" customWidth="1"/>
    <col min="9" max="9" width="9.296875" style="139" customWidth="1"/>
    <col min="10" max="10" width="8.796875" style="139" customWidth="1"/>
    <col min="11" max="11" width="8.69921875" style="139" customWidth="1"/>
    <col min="12" max="12" width="8.19921875" style="139" customWidth="1"/>
    <col min="13" max="13" width="7.8984375" style="139" customWidth="1"/>
    <col min="14" max="14" width="8.59765625" style="139" customWidth="1"/>
    <col min="15" max="15" width="3.09765625" style="139" customWidth="1"/>
    <col min="16" max="17" width="3" style="137" customWidth="1"/>
    <col min="18" max="18" width="7.09765625" style="165" customWidth="1"/>
    <col min="19" max="19" width="8.59765625" style="165" customWidth="1"/>
    <col min="20" max="20" width="8.69921875" style="139" customWidth="1"/>
    <col min="21" max="21" width="2.296875" style="139" customWidth="1"/>
    <col min="22" max="16384" width="7.09765625" style="139" customWidth="1"/>
  </cols>
  <sheetData>
    <row r="1" spans="1:19" ht="13.5" thickTop="1">
      <c r="A1" s="133"/>
      <c r="B1" s="134"/>
      <c r="C1" s="134"/>
      <c r="D1" s="134"/>
      <c r="E1" s="134"/>
      <c r="F1" s="134"/>
      <c r="G1" s="135"/>
      <c r="H1" s="134"/>
      <c r="I1" s="134"/>
      <c r="J1" s="134"/>
      <c r="K1" s="134"/>
      <c r="L1" s="134"/>
      <c r="M1" s="134"/>
      <c r="N1" s="134"/>
      <c r="O1" s="136"/>
      <c r="R1" s="138"/>
      <c r="S1" s="138"/>
    </row>
    <row r="2" spans="1:20" ht="12.75">
      <c r="A2" s="140"/>
      <c r="B2" s="141" t="s">
        <v>93</v>
      </c>
      <c r="C2" s="142"/>
      <c r="D2" s="142"/>
      <c r="E2" s="142"/>
      <c r="F2" s="142"/>
      <c r="G2" s="143"/>
      <c r="H2" s="142"/>
      <c r="I2" s="142"/>
      <c r="J2" s="142"/>
      <c r="K2" s="142"/>
      <c r="L2" s="142"/>
      <c r="M2" s="142" t="s">
        <v>94</v>
      </c>
      <c r="N2" s="144">
        <v>39191</v>
      </c>
      <c r="O2" s="145"/>
      <c r="P2" s="146"/>
      <c r="Q2" s="146"/>
      <c r="R2" s="139"/>
      <c r="S2" s="139"/>
      <c r="T2" s="147"/>
    </row>
    <row r="3" spans="1:20" ht="18">
      <c r="A3" s="148"/>
      <c r="B3" s="149" t="s">
        <v>35</v>
      </c>
      <c r="C3" s="149"/>
      <c r="D3" s="149"/>
      <c r="E3" s="150"/>
      <c r="F3" s="149"/>
      <c r="G3" s="151"/>
      <c r="H3" s="149"/>
      <c r="I3" s="149"/>
      <c r="J3" s="149"/>
      <c r="K3" s="149"/>
      <c r="L3" s="149"/>
      <c r="M3" s="149"/>
      <c r="N3" s="152" t="s">
        <v>95</v>
      </c>
      <c r="O3" s="153"/>
      <c r="P3" s="146"/>
      <c r="Q3" s="146"/>
      <c r="R3" s="139"/>
      <c r="S3" s="139"/>
      <c r="T3" s="147"/>
    </row>
    <row r="4" spans="1:20" s="162" customFormat="1" ht="23.25">
      <c r="A4" s="154" t="s">
        <v>96</v>
      </c>
      <c r="B4" s="155"/>
      <c r="C4" s="156"/>
      <c r="D4" s="156"/>
      <c r="E4" s="156"/>
      <c r="F4" s="156"/>
      <c r="G4" s="157"/>
      <c r="H4" s="156"/>
      <c r="I4" s="156"/>
      <c r="J4" s="156" t="s">
        <v>35</v>
      </c>
      <c r="K4" s="156"/>
      <c r="L4" s="156"/>
      <c r="M4" s="156"/>
      <c r="N4" s="156"/>
      <c r="O4" s="158"/>
      <c r="P4" s="159"/>
      <c r="Q4" s="159"/>
      <c r="R4" s="160"/>
      <c r="S4" s="160"/>
      <c r="T4" s="161"/>
    </row>
    <row r="5" spans="1:15" ht="12.75">
      <c r="A5" s="140"/>
      <c r="B5" s="142"/>
      <c r="C5" s="142"/>
      <c r="D5" s="142"/>
      <c r="E5" s="142"/>
      <c r="F5" s="163"/>
      <c r="G5" s="163"/>
      <c r="H5" s="163"/>
      <c r="I5" s="142"/>
      <c r="J5" s="142"/>
      <c r="K5" s="142"/>
      <c r="L5" s="142"/>
      <c r="M5" s="142"/>
      <c r="N5" s="142"/>
      <c r="O5" s="164"/>
    </row>
    <row r="6" spans="1:22" s="177" customFormat="1" ht="12.75">
      <c r="A6" s="166"/>
      <c r="B6" s="167"/>
      <c r="C6" s="167"/>
      <c r="D6" s="167"/>
      <c r="E6" s="167"/>
      <c r="F6" s="163"/>
      <c r="G6" s="163"/>
      <c r="H6" s="163"/>
      <c r="I6" s="167"/>
      <c r="J6" s="168" t="s">
        <v>97</v>
      </c>
      <c r="K6" s="169"/>
      <c r="L6" s="170" t="s">
        <v>98</v>
      </c>
      <c r="M6" s="171">
        <v>221.38</v>
      </c>
      <c r="N6" s="172" t="s">
        <v>99</v>
      </c>
      <c r="O6" s="173"/>
      <c r="P6" s="174"/>
      <c r="Q6" s="174"/>
      <c r="R6" s="175"/>
      <c r="S6" s="176"/>
      <c r="T6" s="139"/>
      <c r="U6" s="139"/>
      <c r="V6" s="139"/>
    </row>
    <row r="7" spans="1:19" ht="12.75">
      <c r="A7" s="140"/>
      <c r="B7" s="142"/>
      <c r="C7" s="142"/>
      <c r="D7" s="142"/>
      <c r="E7" s="142"/>
      <c r="F7" s="163"/>
      <c r="G7" s="163"/>
      <c r="H7" s="163"/>
      <c r="I7" s="142"/>
      <c r="J7" s="178"/>
      <c r="K7" s="142"/>
      <c r="L7" s="179" t="s">
        <v>100</v>
      </c>
      <c r="M7" s="171">
        <v>34.39</v>
      </c>
      <c r="N7" s="180" t="s">
        <v>99</v>
      </c>
      <c r="O7" s="164"/>
      <c r="R7" s="181"/>
      <c r="S7" s="181"/>
    </row>
    <row r="8" spans="1:19" ht="23.25">
      <c r="A8" s="140"/>
      <c r="B8" s="142"/>
      <c r="C8" s="142"/>
      <c r="D8" s="142"/>
      <c r="E8" s="142"/>
      <c r="F8" s="142"/>
      <c r="G8" s="142"/>
      <c r="H8" s="142"/>
      <c r="I8" s="142"/>
      <c r="J8" s="178"/>
      <c r="K8" s="142"/>
      <c r="L8" s="179" t="s">
        <v>101</v>
      </c>
      <c r="M8" s="182">
        <v>-86.61</v>
      </c>
      <c r="N8" s="180" t="s">
        <v>99</v>
      </c>
      <c r="O8" s="164"/>
      <c r="R8" s="183"/>
      <c r="S8" s="184"/>
    </row>
    <row r="9" spans="1:15" ht="12.75">
      <c r="A9" s="140"/>
      <c r="B9" s="185"/>
      <c r="C9" s="163"/>
      <c r="D9" s="163"/>
      <c r="E9" s="163"/>
      <c r="F9" s="163"/>
      <c r="G9" s="163"/>
      <c r="H9" s="163"/>
      <c r="I9" s="142"/>
      <c r="J9" s="178"/>
      <c r="K9" s="142"/>
      <c r="L9" s="179" t="s">
        <v>102</v>
      </c>
      <c r="M9" s="186">
        <v>42.27</v>
      </c>
      <c r="N9" s="180" t="s">
        <v>103</v>
      </c>
      <c r="O9" s="164"/>
    </row>
    <row r="10" spans="1:15" ht="12.75">
      <c r="A10" s="140"/>
      <c r="B10" s="142"/>
      <c r="C10" s="163"/>
      <c r="D10" s="163"/>
      <c r="E10" s="163"/>
      <c r="F10" s="163"/>
      <c r="G10" s="163"/>
      <c r="H10" s="163"/>
      <c r="I10" s="142"/>
      <c r="J10" s="178"/>
      <c r="K10" s="142"/>
      <c r="L10" s="179" t="s">
        <v>104</v>
      </c>
      <c r="M10" s="182">
        <v>133.98</v>
      </c>
      <c r="N10" s="180" t="s">
        <v>99</v>
      </c>
      <c r="O10" s="164"/>
    </row>
    <row r="11" spans="1:15" ht="12.75">
      <c r="A11" s="140"/>
      <c r="B11" s="142"/>
      <c r="C11" s="163"/>
      <c r="D11" s="163"/>
      <c r="E11" s="163"/>
      <c r="F11" s="163"/>
      <c r="G11" s="163"/>
      <c r="H11" s="163"/>
      <c r="I11" s="142"/>
      <c r="J11" s="178"/>
      <c r="K11" s="142"/>
      <c r="L11" s="142"/>
      <c r="M11" s="142"/>
      <c r="N11" s="180"/>
      <c r="O11" s="164"/>
    </row>
    <row r="12" spans="1:19" ht="12.75">
      <c r="A12" s="140"/>
      <c r="B12" s="142"/>
      <c r="C12" s="163"/>
      <c r="D12" s="163"/>
      <c r="E12" s="163"/>
      <c r="F12" s="163"/>
      <c r="G12" s="163"/>
      <c r="H12" s="163"/>
      <c r="I12" s="142"/>
      <c r="J12" s="178"/>
      <c r="K12" s="142"/>
      <c r="L12" s="187" t="s">
        <v>105</v>
      </c>
      <c r="M12" s="188">
        <f>(M13*12)-M10-M6-K17</f>
        <v>150.86</v>
      </c>
      <c r="N12" s="180" t="s">
        <v>99</v>
      </c>
      <c r="O12" s="164"/>
      <c r="R12" s="139"/>
      <c r="S12" s="139"/>
    </row>
    <row r="13" spans="1:21" ht="12.75">
      <c r="A13" s="140"/>
      <c r="B13" s="142"/>
      <c r="C13" s="163"/>
      <c r="D13" s="163"/>
      <c r="E13" s="163"/>
      <c r="F13" s="163"/>
      <c r="G13" s="163"/>
      <c r="H13" s="163"/>
      <c r="I13" s="142"/>
      <c r="J13" s="189"/>
      <c r="K13" s="149"/>
      <c r="L13" s="190" t="s">
        <v>106</v>
      </c>
      <c r="M13" s="191">
        <f>(M10+M6-M7+M8+M9*12)/12</f>
        <v>61.800000000000004</v>
      </c>
      <c r="N13" s="192" t="s">
        <v>103</v>
      </c>
      <c r="O13" s="164"/>
      <c r="Q13" s="193"/>
      <c r="R13" s="194" t="s">
        <v>107</v>
      </c>
      <c r="S13" s="195"/>
      <c r="T13" s="142"/>
      <c r="U13" s="185"/>
    </row>
    <row r="14" spans="1:21" ht="12.75">
      <c r="A14" s="140"/>
      <c r="B14" s="142"/>
      <c r="C14" s="142"/>
      <c r="D14" s="142"/>
      <c r="E14" s="142"/>
      <c r="F14" s="142"/>
      <c r="G14" s="143"/>
      <c r="H14" s="142"/>
      <c r="I14" s="142"/>
      <c r="J14" s="142"/>
      <c r="K14" s="142"/>
      <c r="L14" s="142"/>
      <c r="M14" s="142"/>
      <c r="N14" s="142"/>
      <c r="O14" s="164"/>
      <c r="Q14" s="193"/>
      <c r="R14" s="196"/>
      <c r="S14" s="194" t="s">
        <v>108</v>
      </c>
      <c r="T14" s="197">
        <f>$K$17-$M$8+$M$7</f>
        <v>356.38</v>
      </c>
      <c r="U14" s="185"/>
    </row>
    <row r="15" spans="1:22" ht="12.75">
      <c r="A15" s="140"/>
      <c r="B15" s="142"/>
      <c r="C15" s="142"/>
      <c r="D15" s="142"/>
      <c r="E15" s="142"/>
      <c r="F15" s="142"/>
      <c r="G15" s="143"/>
      <c r="H15" s="142"/>
      <c r="I15" s="185"/>
      <c r="J15" s="185"/>
      <c r="K15" s="198" t="s">
        <v>99</v>
      </c>
      <c r="L15" s="198" t="s">
        <v>103</v>
      </c>
      <c r="M15" s="198" t="s">
        <v>109</v>
      </c>
      <c r="N15" s="187"/>
      <c r="O15" s="164"/>
      <c r="P15" s="146"/>
      <c r="Q15" s="142"/>
      <c r="R15" s="195"/>
      <c r="S15" s="195"/>
      <c r="T15" s="185"/>
      <c r="U15" s="142"/>
      <c r="V15" s="199"/>
    </row>
    <row r="16" spans="1:21" ht="14.25" customHeight="1">
      <c r="A16" s="140"/>
      <c r="B16" s="142"/>
      <c r="C16" s="142"/>
      <c r="D16" s="142"/>
      <c r="E16" s="142"/>
      <c r="F16" s="142"/>
      <c r="G16" s="143"/>
      <c r="H16" s="142"/>
      <c r="I16" s="179"/>
      <c r="J16" s="200" t="s">
        <v>110</v>
      </c>
      <c r="K16" s="171">
        <v>235.38</v>
      </c>
      <c r="L16" s="201">
        <f>+K16/12</f>
        <v>19.615</v>
      </c>
      <c r="M16" s="202"/>
      <c r="N16" s="203"/>
      <c r="O16" s="164"/>
      <c r="Q16" s="193"/>
      <c r="R16" s="194"/>
      <c r="S16" s="133"/>
      <c r="T16" s="133"/>
      <c r="U16" s="142"/>
    </row>
    <row r="17" spans="1:21" ht="12.75">
      <c r="A17" s="140"/>
      <c r="B17" s="142"/>
      <c r="C17" s="142"/>
      <c r="D17" s="142"/>
      <c r="E17" s="142"/>
      <c r="F17" s="142"/>
      <c r="G17" s="143"/>
      <c r="H17" s="142"/>
      <c r="I17" s="142"/>
      <c r="J17" s="200" t="s">
        <v>111</v>
      </c>
      <c r="K17" s="204">
        <f>IF(K18+T17&lt;K16,K18+T17,K16)</f>
        <v>235.38</v>
      </c>
      <c r="L17" s="201">
        <f>+K17/12</f>
        <v>19.615</v>
      </c>
      <c r="M17" s="205">
        <f>L17-L18</f>
        <v>0</v>
      </c>
      <c r="N17" s="206" t="s">
        <v>103</v>
      </c>
      <c r="O17" s="164"/>
      <c r="Q17" s="193"/>
      <c r="R17" s="194"/>
      <c r="S17" s="207" t="s">
        <v>112</v>
      </c>
      <c r="T17" s="208">
        <v>23</v>
      </c>
      <c r="U17" s="142"/>
    </row>
    <row r="18" spans="1:21" ht="12.75">
      <c r="A18" s="140"/>
      <c r="B18" s="142"/>
      <c r="C18" s="142"/>
      <c r="D18" s="142"/>
      <c r="E18" s="142"/>
      <c r="F18" s="142"/>
      <c r="G18" s="143"/>
      <c r="H18" s="142"/>
      <c r="I18" s="142"/>
      <c r="J18" s="200" t="s">
        <v>113</v>
      </c>
      <c r="K18" s="171">
        <v>235.38</v>
      </c>
      <c r="L18" s="201">
        <f>+K18/12</f>
        <v>19.615</v>
      </c>
      <c r="M18" s="142"/>
      <c r="N18" s="203"/>
      <c r="O18" s="164"/>
      <c r="Q18" s="193"/>
      <c r="S18" s="207"/>
      <c r="T18" s="208">
        <f>(K16-K18)</f>
        <v>0</v>
      </c>
      <c r="U18" s="142"/>
    </row>
    <row r="19" spans="1:21" ht="12.75">
      <c r="A19" s="140"/>
      <c r="B19" s="142"/>
      <c r="C19" s="142"/>
      <c r="D19" s="142"/>
      <c r="E19" s="142"/>
      <c r="F19" s="142"/>
      <c r="G19" s="143"/>
      <c r="H19" s="142"/>
      <c r="I19" s="142"/>
      <c r="J19" s="133"/>
      <c r="K19" s="133"/>
      <c r="L19" s="133"/>
      <c r="M19" s="133"/>
      <c r="N19" s="133"/>
      <c r="O19" s="164"/>
      <c r="Q19" s="193"/>
      <c r="R19" s="194"/>
      <c r="S19" s="207"/>
      <c r="T19" s="209"/>
      <c r="U19" s="142"/>
    </row>
    <row r="20" spans="1:21" ht="12.75">
      <c r="A20" s="140"/>
      <c r="B20" s="142"/>
      <c r="C20" s="142"/>
      <c r="D20" s="142"/>
      <c r="E20" s="142"/>
      <c r="F20" s="142"/>
      <c r="G20" s="143"/>
      <c r="H20" s="142"/>
      <c r="I20" s="142"/>
      <c r="J20" s="200" t="s">
        <v>114</v>
      </c>
      <c r="K20" s="210">
        <f>+L20*12</f>
        <v>842.52</v>
      </c>
      <c r="L20" s="201">
        <f>Max._Boom_Length</f>
        <v>70.21</v>
      </c>
      <c r="M20" s="202"/>
      <c r="N20" s="203"/>
      <c r="O20" s="164"/>
      <c r="Q20" s="193"/>
      <c r="R20" s="194"/>
      <c r="S20" s="207"/>
      <c r="T20" s="142"/>
      <c r="U20" s="142"/>
    </row>
    <row r="21" spans="1:21" ht="12.75">
      <c r="A21" s="140"/>
      <c r="B21" s="142"/>
      <c r="C21" s="142"/>
      <c r="D21" s="142"/>
      <c r="E21" s="142"/>
      <c r="F21" s="142"/>
      <c r="G21" s="143"/>
      <c r="H21" s="142"/>
      <c r="I21" s="142"/>
      <c r="J21" s="200" t="s">
        <v>111</v>
      </c>
      <c r="K21" s="211">
        <f>IF(K22+T21&lt;K20,K22+T21,K20)</f>
        <v>496.08000000000004</v>
      </c>
      <c r="L21" s="201">
        <f>+K21/12</f>
        <v>41.34</v>
      </c>
      <c r="M21" s="205">
        <f>L21-L22</f>
        <v>0</v>
      </c>
      <c r="N21" s="206" t="s">
        <v>103</v>
      </c>
      <c r="O21" s="164"/>
      <c r="Q21" s="193"/>
      <c r="R21" s="194"/>
      <c r="S21" s="207" t="s">
        <v>115</v>
      </c>
      <c r="T21" s="208">
        <v>0</v>
      </c>
      <c r="U21" s="142"/>
    </row>
    <row r="22" spans="1:21" ht="12.75">
      <c r="A22" s="140"/>
      <c r="B22" s="142"/>
      <c r="C22" s="142"/>
      <c r="D22" s="142"/>
      <c r="E22" s="142"/>
      <c r="F22" s="142"/>
      <c r="G22" s="143"/>
      <c r="H22" s="142"/>
      <c r="I22" s="194"/>
      <c r="J22" s="200" t="s">
        <v>116</v>
      </c>
      <c r="K22" s="210">
        <f>+L22*12</f>
        <v>496.08000000000004</v>
      </c>
      <c r="L22" s="201">
        <f>Min._Boom_Length</f>
        <v>41.34</v>
      </c>
      <c r="M22" s="142"/>
      <c r="N22" s="203"/>
      <c r="O22" s="164"/>
      <c r="Q22" s="193"/>
      <c r="R22" s="194"/>
      <c r="S22" s="207"/>
      <c r="T22" s="208">
        <f>(K20-K22)</f>
        <v>346.43999999999994</v>
      </c>
      <c r="U22" s="142"/>
    </row>
    <row r="23" spans="1:21" ht="12.75">
      <c r="A23" s="140"/>
      <c r="B23" s="142"/>
      <c r="C23" s="142"/>
      <c r="D23" s="142"/>
      <c r="E23" s="142"/>
      <c r="F23" s="142"/>
      <c r="G23" s="143"/>
      <c r="H23" s="142"/>
      <c r="I23" s="142"/>
      <c r="J23" s="133"/>
      <c r="K23" s="133"/>
      <c r="L23" s="133"/>
      <c r="M23" s="133"/>
      <c r="N23" s="133"/>
      <c r="O23" s="164"/>
      <c r="Q23" s="193"/>
      <c r="R23" s="195"/>
      <c r="S23" s="195"/>
      <c r="T23" s="185"/>
      <c r="U23" s="142"/>
    </row>
    <row r="24" spans="1:21" ht="12.75">
      <c r="A24" s="140"/>
      <c r="B24" s="142"/>
      <c r="C24" s="142"/>
      <c r="D24" s="142"/>
      <c r="E24" s="142"/>
      <c r="F24" s="142"/>
      <c r="G24" s="143"/>
      <c r="H24" s="142"/>
      <c r="I24" s="142"/>
      <c r="J24" s="142"/>
      <c r="K24" s="142"/>
      <c r="L24" s="142"/>
      <c r="M24" s="142"/>
      <c r="N24" s="142"/>
      <c r="O24" s="164"/>
      <c r="Q24" s="193"/>
      <c r="R24" s="194"/>
      <c r="S24" s="194"/>
      <c r="T24" s="185"/>
      <c r="U24" s="185"/>
    </row>
    <row r="25" spans="1:21" ht="12.75">
      <c r="A25" s="140"/>
      <c r="B25" s="142"/>
      <c r="C25" s="142"/>
      <c r="D25" s="142"/>
      <c r="E25" s="142"/>
      <c r="F25" s="142"/>
      <c r="G25" s="143"/>
      <c r="H25" s="142"/>
      <c r="I25" s="142"/>
      <c r="J25" s="142"/>
      <c r="K25" s="185"/>
      <c r="L25" s="185"/>
      <c r="M25" s="185"/>
      <c r="N25" s="142"/>
      <c r="O25" s="164"/>
      <c r="Q25" s="193"/>
      <c r="R25" s="194"/>
      <c r="S25" s="194"/>
      <c r="T25" s="185"/>
      <c r="U25" s="185"/>
    </row>
    <row r="26" spans="1:21" ht="12.75">
      <c r="A26" s="140"/>
      <c r="B26" s="142"/>
      <c r="C26" s="142"/>
      <c r="D26" s="142"/>
      <c r="E26" s="142"/>
      <c r="F26" s="142"/>
      <c r="G26" s="143"/>
      <c r="H26" s="142"/>
      <c r="I26" s="142"/>
      <c r="J26" s="142"/>
      <c r="K26" s="185"/>
      <c r="L26" s="185"/>
      <c r="M26" s="185"/>
      <c r="N26" s="142"/>
      <c r="O26" s="164"/>
      <c r="Q26" s="193"/>
      <c r="R26" s="194"/>
      <c r="S26" s="133"/>
      <c r="T26" s="133"/>
      <c r="U26" s="185"/>
    </row>
    <row r="27" spans="1:21" ht="12.75">
      <c r="A27" s="140"/>
      <c r="B27" s="142"/>
      <c r="C27" s="142"/>
      <c r="D27" s="142"/>
      <c r="E27" s="142"/>
      <c r="F27" s="142"/>
      <c r="G27" s="185"/>
      <c r="H27" s="185"/>
      <c r="I27" s="185"/>
      <c r="J27" s="142"/>
      <c r="K27" s="142"/>
      <c r="L27" s="142"/>
      <c r="M27" s="142"/>
      <c r="N27" s="142"/>
      <c r="O27" s="164"/>
      <c r="Q27" s="193"/>
      <c r="R27" s="194"/>
      <c r="S27" s="133"/>
      <c r="T27" s="133"/>
      <c r="U27" s="185"/>
    </row>
    <row r="28" spans="1:21" ht="13.5" thickBot="1">
      <c r="A28" s="140"/>
      <c r="B28" s="142"/>
      <c r="C28" s="142"/>
      <c r="D28" s="142"/>
      <c r="E28" s="142"/>
      <c r="F28" s="142"/>
      <c r="G28" s="143"/>
      <c r="H28" s="142"/>
      <c r="I28" s="142"/>
      <c r="J28" s="142"/>
      <c r="K28" s="142"/>
      <c r="L28" s="142"/>
      <c r="M28" s="142"/>
      <c r="N28" s="142"/>
      <c r="O28" s="164"/>
      <c r="Q28" s="193"/>
      <c r="R28" s="194"/>
      <c r="S28" s="194"/>
      <c r="T28" s="185"/>
      <c r="U28" s="185"/>
    </row>
    <row r="29" spans="1:21" ht="13.5" thickBot="1">
      <c r="A29" s="140"/>
      <c r="B29" s="212"/>
      <c r="C29" s="213"/>
      <c r="D29" s="214" t="s">
        <v>117</v>
      </c>
      <c r="E29" s="213"/>
      <c r="F29" s="215" t="s">
        <v>118</v>
      </c>
      <c r="G29" s="213"/>
      <c r="H29" s="213" t="s">
        <v>119</v>
      </c>
      <c r="I29" s="213"/>
      <c r="J29" s="213"/>
      <c r="K29" s="215" t="s">
        <v>120</v>
      </c>
      <c r="L29" s="213"/>
      <c r="M29" s="213" t="s">
        <v>121</v>
      </c>
      <c r="N29" s="216"/>
      <c r="O29" s="164"/>
      <c r="Q29" s="193"/>
      <c r="R29" s="194"/>
      <c r="S29" s="194"/>
      <c r="T29" s="185"/>
      <c r="U29" s="185"/>
    </row>
    <row r="30" spans="1:21" ht="16.5" thickBot="1">
      <c r="A30" s="140"/>
      <c r="B30" s="217" t="s">
        <v>122</v>
      </c>
      <c r="C30" s="185"/>
      <c r="D30" s="218">
        <f>L50+L57+L62+L63+L73+L81+L96</f>
        <v>44232.605364299336</v>
      </c>
      <c r="E30" s="194" t="s">
        <v>123</v>
      </c>
      <c r="F30" s="218">
        <f>M50+M57+M62+M63+M73+M81+M96</f>
        <v>36167.30972811046</v>
      </c>
      <c r="G30" s="194" t="s">
        <v>123</v>
      </c>
      <c r="H30" s="218">
        <f>N50+N57+N62+N63+N106</f>
        <v>24633.084907590215</v>
      </c>
      <c r="I30" s="194" t="s">
        <v>123</v>
      </c>
      <c r="J30" s="194"/>
      <c r="K30" s="218">
        <f>D30+F30+H30</f>
        <v>105033</v>
      </c>
      <c r="L30" s="194" t="s">
        <v>123</v>
      </c>
      <c r="M30" s="218">
        <f>K30-N99</f>
        <v>99033</v>
      </c>
      <c r="N30" s="219" t="s">
        <v>123</v>
      </c>
      <c r="O30" s="164"/>
      <c r="P30" s="220"/>
      <c r="Q30" s="221"/>
      <c r="R30" s="195"/>
      <c r="S30" s="195"/>
      <c r="T30" s="185"/>
      <c r="U30" s="185"/>
    </row>
    <row r="31" spans="1:21" ht="12.75">
      <c r="A31" s="140"/>
      <c r="B31" s="222" t="s">
        <v>124</v>
      </c>
      <c r="C31" s="185"/>
      <c r="D31" s="223">
        <v>49200</v>
      </c>
      <c r="E31" s="194" t="s">
        <v>123</v>
      </c>
      <c r="F31" s="223">
        <v>60000</v>
      </c>
      <c r="G31" s="194" t="s">
        <v>123</v>
      </c>
      <c r="H31" s="223">
        <v>45000</v>
      </c>
      <c r="I31" s="194" t="s">
        <v>123</v>
      </c>
      <c r="J31" s="194"/>
      <c r="K31" s="224">
        <f>SUM(D31:H31)</f>
        <v>154200</v>
      </c>
      <c r="L31" s="194" t="s">
        <v>123</v>
      </c>
      <c r="M31" s="194"/>
      <c r="N31" s="219"/>
      <c r="O31" s="164"/>
      <c r="P31" s="220"/>
      <c r="Q31" s="221"/>
      <c r="R31" s="195"/>
      <c r="S31" s="195"/>
      <c r="T31" s="185"/>
      <c r="U31" s="185"/>
    </row>
    <row r="32" spans="1:21" ht="13.5" thickBot="1">
      <c r="A32" s="140"/>
      <c r="B32" s="225"/>
      <c r="C32" s="226"/>
      <c r="D32" s="226"/>
      <c r="E32" s="226"/>
      <c r="F32" s="227"/>
      <c r="G32" s="226"/>
      <c r="H32" s="226"/>
      <c r="I32" s="226"/>
      <c r="J32" s="226"/>
      <c r="K32" s="226"/>
      <c r="L32" s="226"/>
      <c r="M32" s="226"/>
      <c r="N32" s="228"/>
      <c r="O32" s="164"/>
      <c r="Q32" s="193"/>
      <c r="R32" s="185"/>
      <c r="S32" s="185"/>
      <c r="T32" s="185"/>
      <c r="U32" s="185"/>
    </row>
    <row r="33" spans="1:21" ht="12.75">
      <c r="A33" s="140"/>
      <c r="B33" s="142"/>
      <c r="C33" s="142"/>
      <c r="D33" s="142"/>
      <c r="E33" s="142"/>
      <c r="F33" s="142"/>
      <c r="G33" s="143"/>
      <c r="H33" s="142"/>
      <c r="I33" s="142"/>
      <c r="J33" s="142"/>
      <c r="K33" s="142"/>
      <c r="L33" s="142"/>
      <c r="M33" s="142"/>
      <c r="N33" s="142"/>
      <c r="O33" s="164"/>
      <c r="Q33" s="193"/>
      <c r="R33" s="185"/>
      <c r="S33" s="185"/>
      <c r="T33" s="185"/>
      <c r="U33" s="185"/>
    </row>
    <row r="34" spans="1:21" ht="12.75">
      <c r="A34" s="140"/>
      <c r="B34" s="179" t="s">
        <v>125</v>
      </c>
      <c r="C34" s="229" t="s">
        <v>126</v>
      </c>
      <c r="D34" s="143"/>
      <c r="E34" s="185"/>
      <c r="F34" s="185"/>
      <c r="G34" s="185"/>
      <c r="H34" s="179" t="s">
        <v>21</v>
      </c>
      <c r="I34" s="142" t="s">
        <v>127</v>
      </c>
      <c r="J34" s="142"/>
      <c r="K34" s="142"/>
      <c r="L34" s="142"/>
      <c r="M34" s="142"/>
      <c r="N34" s="142"/>
      <c r="O34" s="164"/>
      <c r="Q34" s="193"/>
      <c r="R34" s="194"/>
      <c r="S34" s="194"/>
      <c r="T34" s="185"/>
      <c r="U34" s="185"/>
    </row>
    <row r="35" spans="1:21" ht="12.75">
      <c r="A35" s="140"/>
      <c r="B35" s="179">
        <v>2</v>
      </c>
      <c r="C35" s="229" t="s">
        <v>128</v>
      </c>
      <c r="D35" s="143"/>
      <c r="E35" s="185"/>
      <c r="F35" s="185"/>
      <c r="G35" s="185"/>
      <c r="H35" s="142"/>
      <c r="I35" s="142"/>
      <c r="J35" s="142"/>
      <c r="K35" s="142"/>
      <c r="L35" s="142"/>
      <c r="M35" s="142"/>
      <c r="N35" s="142"/>
      <c r="O35" s="164"/>
      <c r="Q35" s="193"/>
      <c r="R35" s="194"/>
      <c r="S35" s="194"/>
      <c r="T35" s="185"/>
      <c r="U35" s="185"/>
    </row>
    <row r="36" spans="1:21" ht="12.75">
      <c r="A36" s="140"/>
      <c r="B36" s="179">
        <v>3</v>
      </c>
      <c r="C36" s="229" t="s">
        <v>129</v>
      </c>
      <c r="D36" s="143"/>
      <c r="E36" s="185"/>
      <c r="F36" s="185"/>
      <c r="G36" s="185"/>
      <c r="H36" s="142"/>
      <c r="I36" s="142"/>
      <c r="J36" s="142"/>
      <c r="K36" s="142"/>
      <c r="L36" s="142"/>
      <c r="M36" s="142"/>
      <c r="N36" s="142"/>
      <c r="O36" s="164"/>
      <c r="Q36" s="193"/>
      <c r="R36" s="194"/>
      <c r="S36" s="194"/>
      <c r="T36" s="185"/>
      <c r="U36" s="185"/>
    </row>
    <row r="37" spans="1:21" ht="12.75">
      <c r="A37" s="140"/>
      <c r="B37" s="179">
        <v>4</v>
      </c>
      <c r="C37" s="229" t="s">
        <v>130</v>
      </c>
      <c r="D37" s="143"/>
      <c r="E37" s="185"/>
      <c r="F37" s="230"/>
      <c r="G37" s="185"/>
      <c r="H37" s="142"/>
      <c r="I37" s="142"/>
      <c r="J37" s="142"/>
      <c r="K37" s="142"/>
      <c r="L37" s="142"/>
      <c r="M37" s="142"/>
      <c r="N37" s="142"/>
      <c r="O37" s="164"/>
      <c r="Q37" s="193"/>
      <c r="R37" s="194"/>
      <c r="S37" s="194"/>
      <c r="T37" s="185"/>
      <c r="U37" s="185"/>
    </row>
    <row r="38" spans="1:21" ht="12.75">
      <c r="A38" s="140"/>
      <c r="B38" s="179"/>
      <c r="C38" s="229"/>
      <c r="D38" s="143"/>
      <c r="E38" s="185"/>
      <c r="F38" s="185"/>
      <c r="G38" s="185"/>
      <c r="H38" s="142"/>
      <c r="I38" s="142"/>
      <c r="J38" s="142"/>
      <c r="K38" s="142"/>
      <c r="L38" s="142"/>
      <c r="M38" s="142"/>
      <c r="N38" s="142"/>
      <c r="O38" s="164"/>
      <c r="Q38" s="193"/>
      <c r="R38" s="194"/>
      <c r="S38" s="179" t="s">
        <v>131</v>
      </c>
      <c r="T38" s="224">
        <f>((Wt_Boom*CG_Boom)+(Wt_AuxNose*(Boom_L*12+CG_AuxNose))+Wt_Carrier*CG_Carrier+Wt_Extn*CG_Extn)/$T$14</f>
        <v>8682.512655031145</v>
      </c>
      <c r="U38" s="194"/>
    </row>
    <row r="39" spans="1:21" ht="12.75">
      <c r="A39" s="140"/>
      <c r="B39" s="142"/>
      <c r="C39" s="142"/>
      <c r="D39" s="142"/>
      <c r="E39" s="142"/>
      <c r="F39" s="142"/>
      <c r="G39" s="143"/>
      <c r="H39" s="142"/>
      <c r="I39" s="142"/>
      <c r="J39" s="142"/>
      <c r="K39" s="142"/>
      <c r="L39" s="142"/>
      <c r="M39" s="142"/>
      <c r="N39" s="142"/>
      <c r="O39" s="164"/>
      <c r="Q39" s="193"/>
      <c r="R39" s="194"/>
      <c r="S39" s="179" t="s">
        <v>132</v>
      </c>
      <c r="T39" s="224">
        <f>((($T$14-CG_Boom)*Wt_Boom)-(Wt_AuxNose*($T$14-Boom_L-CG_AuxNose))+Wt_Carrier*(T14-CG_Carrier)+Wt_Extn*($T$14-CG_Extn))/$T$14</f>
        <v>60851.83416577811</v>
      </c>
      <c r="U39" s="194"/>
    </row>
    <row r="40" spans="1:21" ht="12.75">
      <c r="A40" s="140"/>
      <c r="B40" s="142"/>
      <c r="C40" s="142"/>
      <c r="D40" s="142"/>
      <c r="E40" s="142"/>
      <c r="F40" s="142"/>
      <c r="G40" s="143"/>
      <c r="H40" s="142"/>
      <c r="I40" s="142"/>
      <c r="J40" s="142"/>
      <c r="K40" s="231" t="s">
        <v>133</v>
      </c>
      <c r="L40" s="232"/>
      <c r="M40" s="232"/>
      <c r="N40" s="233"/>
      <c r="O40" s="164"/>
      <c r="Q40" s="193"/>
      <c r="R40" s="194"/>
      <c r="S40" s="194"/>
      <c r="T40" s="185"/>
      <c r="U40" s="185"/>
    </row>
    <row r="41" spans="1:21" ht="13.5" thickBot="1">
      <c r="A41" s="140"/>
      <c r="B41" s="142"/>
      <c r="C41" s="142"/>
      <c r="D41" s="142"/>
      <c r="E41" s="142"/>
      <c r="F41" s="142"/>
      <c r="G41" s="234" t="s">
        <v>134</v>
      </c>
      <c r="H41" s="235" t="s">
        <v>135</v>
      </c>
      <c r="I41" s="235" t="s">
        <v>136</v>
      </c>
      <c r="J41" s="193"/>
      <c r="K41" s="236" t="s">
        <v>137</v>
      </c>
      <c r="L41" s="236" t="s">
        <v>138</v>
      </c>
      <c r="M41" s="236" t="s">
        <v>139</v>
      </c>
      <c r="N41" s="237" t="s">
        <v>119</v>
      </c>
      <c r="O41" s="164"/>
      <c r="Q41" s="193"/>
      <c r="R41" s="238" t="s">
        <v>135</v>
      </c>
      <c r="S41" s="239" t="s">
        <v>136</v>
      </c>
      <c r="T41" s="185"/>
      <c r="U41" s="185"/>
    </row>
    <row r="42" spans="1:21" ht="26.25" thickBot="1">
      <c r="A42" s="140"/>
      <c r="B42" s="240" t="s">
        <v>140</v>
      </c>
      <c r="C42" s="241"/>
      <c r="D42" s="241"/>
      <c r="E42" s="242" t="s">
        <v>141</v>
      </c>
      <c r="F42" s="243" t="s">
        <v>142</v>
      </c>
      <c r="G42" s="205"/>
      <c r="H42" s="244"/>
      <c r="I42" s="245"/>
      <c r="J42" s="142"/>
      <c r="K42" s="142"/>
      <c r="L42" s="142"/>
      <c r="M42" s="142"/>
      <c r="N42" s="142"/>
      <c r="O42" s="164"/>
      <c r="Q42" s="193"/>
      <c r="R42" s="246" t="s">
        <v>143</v>
      </c>
      <c r="S42" s="185"/>
      <c r="T42" s="185"/>
      <c r="U42" s="185"/>
    </row>
    <row r="43" spans="1:21" ht="12.75">
      <c r="A43" s="140"/>
      <c r="B43" s="247"/>
      <c r="C43" s="241" t="s">
        <v>144</v>
      </c>
      <c r="D43" s="241"/>
      <c r="E43" s="248"/>
      <c r="F43" s="249">
        <v>41.34</v>
      </c>
      <c r="G43" s="171">
        <v>240.67</v>
      </c>
      <c r="H43" s="223">
        <v>20621</v>
      </c>
      <c r="I43" s="224">
        <f>+G43*H43</f>
        <v>4962856.069999999</v>
      </c>
      <c r="J43" s="142"/>
      <c r="K43" s="224">
        <f aca="true" t="shared" si="0" ref="K43:K49">H43-N43</f>
        <v>6695.257618272632</v>
      </c>
      <c r="L43" s="224">
        <f aca="true" t="shared" si="1" ref="L43:L49">K43*(-BoomPin+Bogie)/Wheelbase</f>
        <v>3659.437039529264</v>
      </c>
      <c r="M43" s="224">
        <f aca="true" t="shared" si="2" ref="M43:M49">K43-L43</f>
        <v>3035.8205787433676</v>
      </c>
      <c r="N43" s="224">
        <f aca="true" t="shared" si="3" ref="N43:N49">I43/(-BoomPin+Bogie+Dolly)</f>
        <v>13925.742381727368</v>
      </c>
      <c r="O43" s="164"/>
      <c r="Q43" s="193"/>
      <c r="R43" s="250">
        <f>IF($B43="*",H43,0)</f>
        <v>0</v>
      </c>
      <c r="S43" s="251">
        <f>G43*R43</f>
        <v>0</v>
      </c>
      <c r="T43" s="185"/>
      <c r="U43" s="185"/>
    </row>
    <row r="44" spans="1:21" ht="12.75">
      <c r="A44" s="140"/>
      <c r="B44" s="252" t="str">
        <f>IF(Q44,"X","")</f>
        <v>X</v>
      </c>
      <c r="C44" s="241" t="s">
        <v>145</v>
      </c>
      <c r="D44" s="241"/>
      <c r="E44" s="248"/>
      <c r="F44" s="253">
        <f>L21</f>
        <v>41.34</v>
      </c>
      <c r="G44" s="197">
        <f>(G45-G43)/(F45-F43)*(F44-F43)+G43</f>
        <v>240.67</v>
      </c>
      <c r="H44" s="224">
        <f>(H45-H43)/(F45-F43)*(F44-F43)+H43</f>
        <v>20621</v>
      </c>
      <c r="I44" s="224">
        <f>+G44*H44</f>
        <v>4962856.069999999</v>
      </c>
      <c r="J44" s="142"/>
      <c r="K44" s="224">
        <f t="shared" si="0"/>
        <v>6695.257618272632</v>
      </c>
      <c r="L44" s="224">
        <f t="shared" si="1"/>
        <v>3659.437039529264</v>
      </c>
      <c r="M44" s="224">
        <f t="shared" si="2"/>
        <v>3035.8205787433676</v>
      </c>
      <c r="N44" s="224">
        <f t="shared" si="3"/>
        <v>13925.742381727368</v>
      </c>
      <c r="O44" s="164"/>
      <c r="Q44" s="193" t="b">
        <v>1</v>
      </c>
      <c r="R44" s="254">
        <f aca="true" t="shared" si="4" ref="R44:R49">IF(Q44,H44,0)</f>
        <v>20621</v>
      </c>
      <c r="S44" s="255">
        <f>G44*R44</f>
        <v>4962856.069999999</v>
      </c>
      <c r="T44" s="185"/>
      <c r="U44" s="185"/>
    </row>
    <row r="45" spans="1:21" ht="12.75">
      <c r="A45" s="140"/>
      <c r="B45" s="247"/>
      <c r="C45" s="241" t="s">
        <v>146</v>
      </c>
      <c r="D45" s="241"/>
      <c r="E45" s="248"/>
      <c r="F45" s="249">
        <v>70.21</v>
      </c>
      <c r="G45" s="171">
        <v>472.25</v>
      </c>
      <c r="H45" s="223">
        <v>20876</v>
      </c>
      <c r="I45" s="224">
        <f>+G45*H45</f>
        <v>9858691</v>
      </c>
      <c r="J45" s="142"/>
      <c r="K45" s="224">
        <f t="shared" si="0"/>
        <v>-6787.423873393571</v>
      </c>
      <c r="L45" s="224">
        <f t="shared" si="1"/>
        <v>-3709.812488393812</v>
      </c>
      <c r="M45" s="224">
        <f t="shared" si="2"/>
        <v>-3077.6113849997587</v>
      </c>
      <c r="N45" s="224">
        <f t="shared" si="3"/>
        <v>27663.42387339357</v>
      </c>
      <c r="O45" s="164"/>
      <c r="Q45" s="193"/>
      <c r="R45" s="254">
        <f t="shared" si="4"/>
        <v>0</v>
      </c>
      <c r="S45" s="255">
        <f>G45*R45</f>
        <v>0</v>
      </c>
      <c r="T45" s="185"/>
      <c r="U45" s="185"/>
    </row>
    <row r="46" spans="1:21" ht="12.75">
      <c r="A46" s="140"/>
      <c r="B46" s="252" t="str">
        <f>IF(Q46,"X","")</f>
        <v>X</v>
      </c>
      <c r="C46" s="241" t="s">
        <v>147</v>
      </c>
      <c r="D46" s="241"/>
      <c r="E46" s="242"/>
      <c r="F46" s="248"/>
      <c r="G46" s="171">
        <v>513.06</v>
      </c>
      <c r="H46" s="223">
        <v>130</v>
      </c>
      <c r="I46" s="224">
        <f>+H46*G46</f>
        <v>66697.79999999999</v>
      </c>
      <c r="J46" s="142"/>
      <c r="K46" s="224">
        <f t="shared" si="0"/>
        <v>-57.15360008979175</v>
      </c>
      <c r="L46" s="224">
        <f t="shared" si="1"/>
        <v>-31.238529274843266</v>
      </c>
      <c r="M46" s="224">
        <f t="shared" si="2"/>
        <v>-25.915070814948486</v>
      </c>
      <c r="N46" s="224">
        <f t="shared" si="3"/>
        <v>187.15360008979175</v>
      </c>
      <c r="O46" s="164"/>
      <c r="Q46" s="193" t="b">
        <v>1</v>
      </c>
      <c r="R46" s="254">
        <f t="shared" si="4"/>
        <v>130</v>
      </c>
      <c r="S46" s="255">
        <f>R46*G46</f>
        <v>66697.79999999999</v>
      </c>
      <c r="T46" s="185"/>
      <c r="U46" s="185"/>
    </row>
    <row r="47" spans="1:21" ht="12.75">
      <c r="A47" s="140"/>
      <c r="B47" s="252">
        <f>IF(Q47,"X","")</f>
      </c>
      <c r="C47" s="241" t="s">
        <v>148</v>
      </c>
      <c r="D47" s="241"/>
      <c r="E47" s="241"/>
      <c r="F47" s="248"/>
      <c r="G47" s="188">
        <f>Boom_L*12</f>
        <v>496.08000000000004</v>
      </c>
      <c r="H47" s="223">
        <v>568</v>
      </c>
      <c r="I47" s="224">
        <f>+G47*H47</f>
        <v>281773.44</v>
      </c>
      <c r="J47" s="142"/>
      <c r="K47" s="224">
        <f t="shared" si="0"/>
        <v>-222.65446994780848</v>
      </c>
      <c r="L47" s="224">
        <f t="shared" si="1"/>
        <v>-121.69658895873533</v>
      </c>
      <c r="M47" s="224">
        <f t="shared" si="2"/>
        <v>-100.95788098907315</v>
      </c>
      <c r="N47" s="224">
        <f t="shared" si="3"/>
        <v>790.6544699478085</v>
      </c>
      <c r="O47" s="164"/>
      <c r="Q47" s="193" t="b">
        <v>0</v>
      </c>
      <c r="R47" s="254">
        <f t="shared" si="4"/>
        <v>0</v>
      </c>
      <c r="S47" s="255">
        <f>G47*R47</f>
        <v>0</v>
      </c>
      <c r="T47" s="185"/>
      <c r="U47" s="185"/>
    </row>
    <row r="48" spans="1:21" ht="12.75">
      <c r="A48" s="140"/>
      <c r="B48" s="252">
        <f>IF(Q48,"X","")</f>
      </c>
      <c r="C48" s="241" t="s">
        <v>149</v>
      </c>
      <c r="D48" s="241"/>
      <c r="E48" s="241"/>
      <c r="F48" s="248"/>
      <c r="G48" s="188">
        <f>Boom_L*12</f>
        <v>496.08000000000004</v>
      </c>
      <c r="H48" s="223">
        <v>1275</v>
      </c>
      <c r="I48" s="224">
        <f>+G48*H48</f>
        <v>632502</v>
      </c>
      <c r="J48" s="142"/>
      <c r="K48" s="224">
        <f t="shared" si="0"/>
        <v>-499.7965654638308</v>
      </c>
      <c r="L48" s="224">
        <f t="shared" si="1"/>
        <v>-273.17456148307673</v>
      </c>
      <c r="M48" s="224">
        <f t="shared" si="2"/>
        <v>-226.62200398075407</v>
      </c>
      <c r="N48" s="224">
        <f t="shared" si="3"/>
        <v>1774.7965654638308</v>
      </c>
      <c r="O48" s="164"/>
      <c r="Q48" s="193" t="b">
        <v>0</v>
      </c>
      <c r="R48" s="254">
        <f t="shared" si="4"/>
        <v>0</v>
      </c>
      <c r="S48" s="255">
        <f>G48*R48</f>
        <v>0</v>
      </c>
      <c r="T48" s="185"/>
      <c r="U48" s="185"/>
    </row>
    <row r="49" spans="1:21" ht="13.5" thickBot="1">
      <c r="A49" s="140"/>
      <c r="B49" s="252" t="str">
        <f>IF(Q49,"X","")</f>
        <v>X</v>
      </c>
      <c r="C49" s="241" t="s">
        <v>150</v>
      </c>
      <c r="D49" s="241"/>
      <c r="E49" s="241"/>
      <c r="F49" s="248"/>
      <c r="G49" s="188">
        <f>Boom_L*12</f>
        <v>496.08000000000004</v>
      </c>
      <c r="H49" s="223">
        <v>823</v>
      </c>
      <c r="I49" s="224">
        <f>+G49*H49</f>
        <v>408273.84</v>
      </c>
      <c r="J49" s="142"/>
      <c r="K49" s="224">
        <f t="shared" si="0"/>
        <v>-322.61378304057484</v>
      </c>
      <c r="L49" s="224">
        <f t="shared" si="1"/>
        <v>-176.3315012553508</v>
      </c>
      <c r="M49" s="224">
        <f t="shared" si="2"/>
        <v>-146.28228178522406</v>
      </c>
      <c r="N49" s="224">
        <f t="shared" si="3"/>
        <v>1145.6137830405748</v>
      </c>
      <c r="O49" s="164"/>
      <c r="Q49" s="193" t="b">
        <v>1</v>
      </c>
      <c r="R49" s="254">
        <f t="shared" si="4"/>
        <v>823</v>
      </c>
      <c r="S49" s="255">
        <f>G49*R49</f>
        <v>408273.84</v>
      </c>
      <c r="T49" s="185"/>
      <c r="U49" s="185"/>
    </row>
    <row r="50" spans="1:21" ht="13.5" thickBot="1">
      <c r="A50" s="140"/>
      <c r="B50" s="256"/>
      <c r="C50" s="257"/>
      <c r="D50" s="257"/>
      <c r="E50" s="257" t="s">
        <v>143</v>
      </c>
      <c r="F50" s="258"/>
      <c r="G50" s="259">
        <f>+I50/H50</f>
        <v>252.05468202465926</v>
      </c>
      <c r="H50" s="260">
        <f>SUM(R43:R49)</f>
        <v>21574</v>
      </c>
      <c r="I50" s="261">
        <f>SUM(S43:S49)</f>
        <v>5437827.709999999</v>
      </c>
      <c r="J50" s="142"/>
      <c r="K50" s="262">
        <f>R50-N50</f>
        <v>6315.490235142266</v>
      </c>
      <c r="L50" s="260">
        <f>K50-M50</f>
        <v>3451.86700899907</v>
      </c>
      <c r="M50" s="260">
        <f>K50*(Wheelbase-Bogie+BoomPin)/Wheelbase</f>
        <v>2863.623226143196</v>
      </c>
      <c r="N50" s="261">
        <f>S50/A</f>
        <v>15258.509764857734</v>
      </c>
      <c r="O50" s="164"/>
      <c r="Q50" s="193"/>
      <c r="R50" s="262">
        <f>SUM(R43:R49)</f>
        <v>21574</v>
      </c>
      <c r="S50" s="261">
        <f>SUM(S43:S49)</f>
        <v>5437827.709999999</v>
      </c>
      <c r="T50" s="185"/>
      <c r="U50" s="185"/>
    </row>
    <row r="51" spans="1:21" ht="12.75">
      <c r="A51" s="140"/>
      <c r="B51" s="142"/>
      <c r="C51" s="142"/>
      <c r="D51" s="142"/>
      <c r="E51" s="142"/>
      <c r="F51" s="142"/>
      <c r="G51" s="263"/>
      <c r="H51" s="193"/>
      <c r="I51" s="193"/>
      <c r="J51" s="193"/>
      <c r="K51" s="185"/>
      <c r="L51" s="185"/>
      <c r="M51" s="185"/>
      <c r="N51" s="185"/>
      <c r="O51" s="164"/>
      <c r="Q51" s="193"/>
      <c r="R51" s="221"/>
      <c r="S51" s="221"/>
      <c r="T51" s="185"/>
      <c r="U51" s="185"/>
    </row>
    <row r="52" spans="1:21" ht="12.75">
      <c r="A52" s="140"/>
      <c r="B52" s="142"/>
      <c r="C52" s="142"/>
      <c r="D52" s="142"/>
      <c r="E52" s="142"/>
      <c r="F52" s="142"/>
      <c r="G52" s="263"/>
      <c r="H52" s="193"/>
      <c r="I52" s="193"/>
      <c r="J52" s="193"/>
      <c r="K52" s="185"/>
      <c r="L52" s="185"/>
      <c r="M52" s="185"/>
      <c r="N52" s="185"/>
      <c r="O52" s="164"/>
      <c r="Q52" s="193"/>
      <c r="R52" s="221"/>
      <c r="S52" s="221"/>
      <c r="T52" s="185"/>
      <c r="U52" s="185"/>
    </row>
    <row r="53" spans="1:21" ht="13.5" thickBot="1">
      <c r="A53" s="140"/>
      <c r="B53" s="264" t="s">
        <v>151</v>
      </c>
      <c r="C53" s="241"/>
      <c r="D53" s="241"/>
      <c r="E53" s="242" t="s">
        <v>141</v>
      </c>
      <c r="F53" s="241"/>
      <c r="G53" s="265"/>
      <c r="H53" s="241"/>
      <c r="I53" s="248"/>
      <c r="J53" s="142"/>
      <c r="K53" s="142"/>
      <c r="L53" s="142"/>
      <c r="M53" s="142"/>
      <c r="N53" s="185"/>
      <c r="O53" s="164"/>
      <c r="Q53" s="193"/>
      <c r="R53" s="266" t="s">
        <v>152</v>
      </c>
      <c r="S53" s="185"/>
      <c r="T53" s="185"/>
      <c r="U53" s="185"/>
    </row>
    <row r="54" spans="1:21" ht="13.5" thickBot="1">
      <c r="A54" s="140"/>
      <c r="B54" s="252" t="str">
        <f>IF(Q54,"X","")</f>
        <v>X</v>
      </c>
      <c r="C54" s="241" t="s">
        <v>153</v>
      </c>
      <c r="D54" s="241"/>
      <c r="E54" s="241"/>
      <c r="F54" s="248"/>
      <c r="G54" s="171">
        <v>304.19</v>
      </c>
      <c r="H54" s="223">
        <v>2645</v>
      </c>
      <c r="I54" s="224">
        <f>+G54*H54</f>
        <v>804582.55</v>
      </c>
      <c r="J54" s="142"/>
      <c r="K54" s="224">
        <f>H54-N54</f>
        <v>387.3465121499521</v>
      </c>
      <c r="L54" s="224">
        <f>K54*(-BoomPin+Bogie)/Wheelbase</f>
        <v>211.7125664926561</v>
      </c>
      <c r="M54" s="224">
        <f>K54-L54</f>
        <v>175.633945657296</v>
      </c>
      <c r="N54" s="224">
        <f>I54/(-BoomPin+Bogie+Dolly)</f>
        <v>2257.653487850048</v>
      </c>
      <c r="O54" s="164"/>
      <c r="Q54" s="193" t="b">
        <v>1</v>
      </c>
      <c r="R54" s="250">
        <f>IF(Q54,H54,0)</f>
        <v>2645</v>
      </c>
      <c r="S54" s="251">
        <f>G54*R54</f>
        <v>804582.55</v>
      </c>
      <c r="T54" s="185"/>
      <c r="U54" s="185"/>
    </row>
    <row r="55" spans="1:21" ht="13.5" thickBot="1">
      <c r="A55" s="140"/>
      <c r="B55" s="252">
        <f>IF(Q55,"X","")</f>
      </c>
      <c r="C55" s="241" t="s">
        <v>154</v>
      </c>
      <c r="D55" s="241"/>
      <c r="E55" s="241"/>
      <c r="F55" s="248"/>
      <c r="G55" s="171">
        <v>335.23</v>
      </c>
      <c r="H55" s="223">
        <v>1827</v>
      </c>
      <c r="I55" s="224">
        <f>+G55*H55</f>
        <v>612465.2100000001</v>
      </c>
      <c r="J55" s="142"/>
      <c r="K55" s="224">
        <f>H55-N55</f>
        <v>108.42653908749071</v>
      </c>
      <c r="L55" s="224">
        <f>K55*(-BoomPin+Bogie)/Wheelbase</f>
        <v>59.26285676026007</v>
      </c>
      <c r="M55" s="224">
        <f>K55-L55</f>
        <v>49.16368232723064</v>
      </c>
      <c r="N55" s="224">
        <f>I55/(-BoomPin+Bogie+Dolly)</f>
        <v>1718.5734609125093</v>
      </c>
      <c r="O55" s="164"/>
      <c r="Q55" s="193" t="b">
        <v>0</v>
      </c>
      <c r="R55" s="250">
        <f>IF(Q55,H55,0)</f>
        <v>0</v>
      </c>
      <c r="S55" s="251">
        <f>G55*R55</f>
        <v>0</v>
      </c>
      <c r="T55" s="185"/>
      <c r="U55" s="185"/>
    </row>
    <row r="56" spans="1:21" ht="13.5" thickBot="1">
      <c r="A56" s="140"/>
      <c r="B56" s="252" t="str">
        <f>IF(Q56,"X","")</f>
        <v>X</v>
      </c>
      <c r="C56" s="241" t="s">
        <v>155</v>
      </c>
      <c r="D56" s="241"/>
      <c r="E56" s="241"/>
      <c r="F56" s="248"/>
      <c r="G56" s="171">
        <v>249</v>
      </c>
      <c r="H56" s="223">
        <v>351</v>
      </c>
      <c r="I56" s="224">
        <f>+G56*H56</f>
        <v>87399</v>
      </c>
      <c r="J56" s="142"/>
      <c r="K56" s="224">
        <f>H56-N56</f>
        <v>105.75896514955946</v>
      </c>
      <c r="L56" s="224">
        <f>K56*(-BoomPin+Bogie)/Wheelbase</f>
        <v>57.804836855617914</v>
      </c>
      <c r="M56" s="224">
        <f>K56-L56</f>
        <v>47.954128293941544</v>
      </c>
      <c r="N56" s="224">
        <f>I56/(-BoomPin+Bogie+Dolly)</f>
        <v>245.24103485044054</v>
      </c>
      <c r="O56" s="164"/>
      <c r="Q56" s="193" t="b">
        <v>1</v>
      </c>
      <c r="R56" s="250">
        <f>IF(Q56,H56,0)</f>
        <v>351</v>
      </c>
      <c r="S56" s="251">
        <f>G56*R56</f>
        <v>87399</v>
      </c>
      <c r="T56" s="185"/>
      <c r="U56" s="185"/>
    </row>
    <row r="57" spans="1:21" ht="13.5" thickBot="1">
      <c r="A57" s="140"/>
      <c r="B57" s="267"/>
      <c r="C57" s="268"/>
      <c r="D57" s="268"/>
      <c r="E57" s="257" t="s">
        <v>152</v>
      </c>
      <c r="F57" s="258"/>
      <c r="G57" s="259">
        <f>+I57/H57</f>
        <v>297.72414886515355</v>
      </c>
      <c r="H57" s="260">
        <f>SUM(R54:R56)</f>
        <v>2996</v>
      </c>
      <c r="I57" s="261">
        <f>SUM(S54:S56)</f>
        <v>891981.55</v>
      </c>
      <c r="J57" s="142"/>
      <c r="K57" s="262">
        <f>R57-N57</f>
        <v>493.1054772995117</v>
      </c>
      <c r="L57" s="260">
        <f>K57-M57</f>
        <v>269.517403348274</v>
      </c>
      <c r="M57" s="260">
        <f>K57*(Wheelbase-Bogie+BoomPin)/Wheelbase</f>
        <v>223.58807395123765</v>
      </c>
      <c r="N57" s="261">
        <f>S57/$T$14</f>
        <v>2502.8945227004883</v>
      </c>
      <c r="O57" s="164"/>
      <c r="Q57" s="193"/>
      <c r="R57" s="269">
        <f>SUM(R54:R56)</f>
        <v>2996</v>
      </c>
      <c r="S57" s="269">
        <f>SUM(S54:S56)</f>
        <v>891981.55</v>
      </c>
      <c r="T57" s="185"/>
      <c r="U57" s="185"/>
    </row>
    <row r="58" spans="1:21" ht="12.75">
      <c r="A58" s="140"/>
      <c r="B58" s="142"/>
      <c r="C58" s="266"/>
      <c r="D58" s="266"/>
      <c r="E58" s="163"/>
      <c r="F58" s="163"/>
      <c r="G58" s="143"/>
      <c r="H58" s="194"/>
      <c r="I58" s="194"/>
      <c r="J58" s="142"/>
      <c r="K58" s="194"/>
      <c r="L58" s="185"/>
      <c r="M58" s="185"/>
      <c r="N58" s="194"/>
      <c r="O58" s="164"/>
      <c r="Q58" s="193"/>
      <c r="R58" s="194"/>
      <c r="S58" s="194"/>
      <c r="T58" s="185"/>
      <c r="U58" s="185"/>
    </row>
    <row r="59" spans="1:21" ht="12.75">
      <c r="A59" s="140"/>
      <c r="B59" s="142"/>
      <c r="C59" s="266"/>
      <c r="D59" s="266"/>
      <c r="E59" s="163"/>
      <c r="F59" s="163"/>
      <c r="G59" s="143"/>
      <c r="H59" s="194"/>
      <c r="I59" s="194"/>
      <c r="J59" s="142"/>
      <c r="K59" s="270"/>
      <c r="L59" s="270"/>
      <c r="M59" s="270"/>
      <c r="N59" s="270"/>
      <c r="O59" s="164"/>
      <c r="Q59" s="193"/>
      <c r="R59" s="185"/>
      <c r="S59" s="194"/>
      <c r="T59" s="185"/>
      <c r="U59" s="185"/>
    </row>
    <row r="60" spans="1:21" ht="13.5" thickBot="1">
      <c r="A60" s="140"/>
      <c r="B60" s="168" t="s">
        <v>156</v>
      </c>
      <c r="C60" s="271"/>
      <c r="D60" s="271"/>
      <c r="E60" s="242" t="s">
        <v>157</v>
      </c>
      <c r="F60" s="198"/>
      <c r="G60" s="272"/>
      <c r="H60" s="273"/>
      <c r="I60" s="274"/>
      <c r="J60" s="142"/>
      <c r="K60" s="275" t="s">
        <v>158</v>
      </c>
      <c r="L60" s="276"/>
      <c r="M60" s="276"/>
      <c r="N60" s="276"/>
      <c r="O60" s="164"/>
      <c r="Q60" s="193"/>
      <c r="R60" s="266" t="s">
        <v>159</v>
      </c>
      <c r="S60" s="194"/>
      <c r="T60" s="185"/>
      <c r="U60" s="185"/>
    </row>
    <row r="61" spans="1:21" ht="12.75">
      <c r="A61" s="140"/>
      <c r="B61" s="252" t="str">
        <f>IF(Q61,"X","")</f>
        <v>X</v>
      </c>
      <c r="C61" s="264" t="s">
        <v>159</v>
      </c>
      <c r="D61" s="241"/>
      <c r="E61" s="185"/>
      <c r="F61" s="185"/>
      <c r="G61" s="171">
        <v>89.52</v>
      </c>
      <c r="H61" s="223">
        <v>2674</v>
      </c>
      <c r="I61" s="224">
        <f>+G61*H61</f>
        <v>239376.47999999998</v>
      </c>
      <c r="J61" s="142"/>
      <c r="K61" s="277" t="s">
        <v>160</v>
      </c>
      <c r="L61" s="276"/>
      <c r="M61" s="276"/>
      <c r="N61" s="276"/>
      <c r="O61" s="164"/>
      <c r="Q61" s="193" t="b">
        <v>1</v>
      </c>
      <c r="R61" s="250">
        <f>IF(Q61,H61,0)</f>
        <v>2674</v>
      </c>
      <c r="S61" s="278"/>
      <c r="T61" s="185"/>
      <c r="U61" s="185"/>
    </row>
    <row r="62" spans="1:21" ht="12.75">
      <c r="A62" s="140"/>
      <c r="B62" s="279"/>
      <c r="C62" s="142"/>
      <c r="D62" s="142"/>
      <c r="E62" s="280" t="s">
        <v>161</v>
      </c>
      <c r="F62" s="182">
        <v>16.38</v>
      </c>
      <c r="G62" s="281"/>
      <c r="H62" s="282"/>
      <c r="I62" s="283"/>
      <c r="J62" s="142"/>
      <c r="K62" s="224">
        <f>R61-K63</f>
        <v>1556.676188299817</v>
      </c>
      <c r="L62" s="224">
        <f>K62-M62</f>
        <v>126.64079027590424</v>
      </c>
      <c r="M62" s="224">
        <f>K62*(Wheelbase-Bogie+F62)/Wheelbase</f>
        <v>1430.0353980239129</v>
      </c>
      <c r="N62" s="224">
        <v>0</v>
      </c>
      <c r="O62" s="164"/>
      <c r="Q62" s="193"/>
      <c r="R62" s="194"/>
      <c r="S62" s="194"/>
      <c r="T62" s="185"/>
      <c r="U62" s="185"/>
    </row>
    <row r="63" spans="1:21" ht="12.75">
      <c r="A63" s="140"/>
      <c r="B63" s="279"/>
      <c r="C63" s="142"/>
      <c r="D63" s="142"/>
      <c r="E63" s="284" t="s">
        <v>162</v>
      </c>
      <c r="F63" s="182">
        <v>191.42</v>
      </c>
      <c r="G63" s="281"/>
      <c r="H63" s="282"/>
      <c r="I63" s="283"/>
      <c r="J63" s="142"/>
      <c r="K63" s="224">
        <f>R61*(-F62+G61)/(-F62+F63)</f>
        <v>1117.323811700183</v>
      </c>
      <c r="L63" s="224">
        <f>K63-M63-N63</f>
        <v>134.2615692106375</v>
      </c>
      <c r="M63" s="224">
        <f>(K63-N63)*(Wheelbase-Bogie+BoomPin)/Wheelbase</f>
        <v>111.38162245755201</v>
      </c>
      <c r="N63" s="224">
        <f>K63*(-PivotPin+F63)/(-PivotPin+Bogie+Dolly)</f>
        <v>871.6806200319934</v>
      </c>
      <c r="O63" s="164"/>
      <c r="Q63" s="193"/>
      <c r="R63" s="194"/>
      <c r="S63" s="194"/>
      <c r="T63" s="185"/>
      <c r="U63" s="185"/>
    </row>
    <row r="64" spans="1:21" ht="12.75">
      <c r="A64" s="140"/>
      <c r="B64" s="229"/>
      <c r="C64" s="142"/>
      <c r="D64" s="142"/>
      <c r="E64" s="229" t="s">
        <v>163</v>
      </c>
      <c r="F64" s="142"/>
      <c r="G64" s="143"/>
      <c r="H64" s="194"/>
      <c r="I64" s="194"/>
      <c r="J64" s="142"/>
      <c r="K64" s="185"/>
      <c r="L64" s="185"/>
      <c r="M64" s="185"/>
      <c r="N64" s="185"/>
      <c r="O64" s="164"/>
      <c r="Q64" s="193"/>
      <c r="R64" s="194"/>
      <c r="S64" s="185"/>
      <c r="T64" s="185"/>
      <c r="U64" s="185"/>
    </row>
    <row r="65" spans="1:21" ht="12.75">
      <c r="A65" s="140"/>
      <c r="B65" s="142"/>
      <c r="C65" s="142"/>
      <c r="D65" s="142"/>
      <c r="E65" s="142"/>
      <c r="F65" s="142"/>
      <c r="G65" s="143"/>
      <c r="H65" s="194"/>
      <c r="I65" s="194"/>
      <c r="J65" s="142"/>
      <c r="K65" s="185"/>
      <c r="L65" s="195"/>
      <c r="M65" s="195"/>
      <c r="N65" s="195"/>
      <c r="O65" s="164"/>
      <c r="Q65" s="193"/>
      <c r="R65" s="185"/>
      <c r="S65" s="185"/>
      <c r="T65" s="185"/>
      <c r="U65" s="185"/>
    </row>
    <row r="66" spans="1:21" ht="13.5" thickBot="1">
      <c r="A66" s="140"/>
      <c r="B66" s="264" t="s">
        <v>164</v>
      </c>
      <c r="C66" s="241"/>
      <c r="D66" s="241"/>
      <c r="E66" s="242" t="s">
        <v>157</v>
      </c>
      <c r="F66" s="241"/>
      <c r="G66" s="265"/>
      <c r="H66" s="241"/>
      <c r="I66" s="248"/>
      <c r="J66" s="142"/>
      <c r="K66" s="142"/>
      <c r="L66" s="194"/>
      <c r="M66" s="142"/>
      <c r="N66" s="142"/>
      <c r="O66" s="164"/>
      <c r="Q66" s="193"/>
      <c r="R66" s="266" t="s">
        <v>165</v>
      </c>
      <c r="S66" s="194"/>
      <c r="T66" s="185"/>
      <c r="U66" s="185"/>
    </row>
    <row r="67" spans="1:21" ht="12.75">
      <c r="A67" s="140"/>
      <c r="B67" s="252" t="str">
        <f aca="true" t="shared" si="5" ref="B67:B72">IF(Q67,"X","")</f>
        <v>X</v>
      </c>
      <c r="C67" s="241" t="s">
        <v>166</v>
      </c>
      <c r="D67" s="241"/>
      <c r="E67" s="241"/>
      <c r="F67" s="248"/>
      <c r="G67" s="171">
        <v>-71.14</v>
      </c>
      <c r="H67" s="223">
        <v>13223</v>
      </c>
      <c r="I67" s="224">
        <f aca="true" t="shared" si="6" ref="I67:I72">+G67*H67</f>
        <v>-940684.22</v>
      </c>
      <c r="J67" s="142"/>
      <c r="K67" s="142"/>
      <c r="L67" s="224">
        <f aca="true" t="shared" si="7" ref="L67:L72">H67*(-G67+Bogie)/Wheelbase</f>
        <v>6303.2938386484775</v>
      </c>
      <c r="M67" s="224">
        <f aca="true" t="shared" si="8" ref="M67:M72">H67-L67</f>
        <v>6919.7061613515225</v>
      </c>
      <c r="N67" s="142"/>
      <c r="O67" s="164"/>
      <c r="Q67" s="193" t="b">
        <v>1</v>
      </c>
      <c r="R67" s="250">
        <f aca="true" t="shared" si="9" ref="R67:R72">IF(Q67,H67,0)</f>
        <v>13223</v>
      </c>
      <c r="S67" s="278">
        <f aca="true" t="shared" si="10" ref="S67:S72">G67*R67</f>
        <v>-940684.22</v>
      </c>
      <c r="T67" s="185"/>
      <c r="U67" s="185"/>
    </row>
    <row r="68" spans="1:21" ht="12.75">
      <c r="A68" s="140"/>
      <c r="B68" s="252">
        <f t="shared" si="5"/>
      </c>
      <c r="C68" s="241" t="s">
        <v>167</v>
      </c>
      <c r="D68" s="241"/>
      <c r="E68" s="241"/>
      <c r="F68" s="248"/>
      <c r="G68" s="171">
        <v>-153</v>
      </c>
      <c r="H68" s="223">
        <v>-345</v>
      </c>
      <c r="I68" s="224">
        <f t="shared" si="6"/>
        <v>52785</v>
      </c>
      <c r="J68" s="142"/>
      <c r="K68" s="142"/>
      <c r="L68" s="224">
        <f t="shared" si="7"/>
        <v>-292.02976782003793</v>
      </c>
      <c r="M68" s="224">
        <f t="shared" si="8"/>
        <v>-52.97023217996207</v>
      </c>
      <c r="N68" s="142"/>
      <c r="O68" s="164"/>
      <c r="Q68" s="193" t="b">
        <v>0</v>
      </c>
      <c r="R68" s="254">
        <f t="shared" si="9"/>
        <v>0</v>
      </c>
      <c r="S68" s="285">
        <f t="shared" si="10"/>
        <v>0</v>
      </c>
      <c r="T68" s="185"/>
      <c r="U68" s="185"/>
    </row>
    <row r="69" spans="1:21" ht="12.75">
      <c r="A69" s="140"/>
      <c r="B69" s="252">
        <f t="shared" si="5"/>
      </c>
      <c r="C69" s="241" t="s">
        <v>168</v>
      </c>
      <c r="D69" s="241"/>
      <c r="E69" s="241"/>
      <c r="F69" s="248"/>
      <c r="G69" s="171">
        <v>-125</v>
      </c>
      <c r="H69" s="223">
        <v>-600</v>
      </c>
      <c r="I69" s="224">
        <f t="shared" si="6"/>
        <v>75000</v>
      </c>
      <c r="J69" s="142"/>
      <c r="K69" s="142"/>
      <c r="L69" s="224">
        <f t="shared" si="7"/>
        <v>-431.9902430210497</v>
      </c>
      <c r="M69" s="224">
        <f t="shared" si="8"/>
        <v>-168.0097569789503</v>
      </c>
      <c r="N69" s="142"/>
      <c r="O69" s="164"/>
      <c r="Q69" s="193" t="b">
        <v>0</v>
      </c>
      <c r="R69" s="254">
        <f t="shared" si="9"/>
        <v>0</v>
      </c>
      <c r="S69" s="285">
        <f t="shared" si="10"/>
        <v>0</v>
      </c>
      <c r="T69" s="185"/>
      <c r="U69" s="185"/>
    </row>
    <row r="70" spans="1:21" ht="12.75">
      <c r="A70" s="140"/>
      <c r="B70" s="252">
        <f t="shared" si="5"/>
      </c>
      <c r="C70" s="241" t="s">
        <v>169</v>
      </c>
      <c r="D70" s="241"/>
      <c r="E70" s="241"/>
      <c r="F70" s="248"/>
      <c r="G70" s="171">
        <v>-159</v>
      </c>
      <c r="H70" s="223">
        <v>-789</v>
      </c>
      <c r="I70" s="224">
        <f t="shared" si="6"/>
        <v>125451</v>
      </c>
      <c r="J70" s="142"/>
      <c r="K70" s="142"/>
      <c r="L70" s="224">
        <f t="shared" si="7"/>
        <v>-689.2434275905682</v>
      </c>
      <c r="M70" s="224">
        <f t="shared" si="8"/>
        <v>-99.75657240943178</v>
      </c>
      <c r="N70" s="142"/>
      <c r="O70" s="164"/>
      <c r="Q70" s="193" t="b">
        <v>0</v>
      </c>
      <c r="R70" s="254">
        <f t="shared" si="9"/>
        <v>0</v>
      </c>
      <c r="S70" s="285">
        <f t="shared" si="10"/>
        <v>0</v>
      </c>
      <c r="T70" s="185"/>
      <c r="U70" s="185"/>
    </row>
    <row r="71" spans="1:21" ht="12.75">
      <c r="A71" s="140"/>
      <c r="B71" s="252">
        <f t="shared" si="5"/>
      </c>
      <c r="C71" s="241" t="s">
        <v>170</v>
      </c>
      <c r="D71" s="241"/>
      <c r="E71" s="241"/>
      <c r="F71" s="248"/>
      <c r="G71" s="171">
        <v>-125</v>
      </c>
      <c r="H71" s="223">
        <v>189</v>
      </c>
      <c r="I71" s="224">
        <f t="shared" si="6"/>
        <v>-23625</v>
      </c>
      <c r="J71" s="142"/>
      <c r="K71" s="142"/>
      <c r="L71" s="224">
        <f t="shared" si="7"/>
        <v>136.0769265516307</v>
      </c>
      <c r="M71" s="224">
        <f t="shared" si="8"/>
        <v>52.92307344836931</v>
      </c>
      <c r="N71" s="142"/>
      <c r="O71" s="164"/>
      <c r="Q71" s="193" t="b">
        <v>0</v>
      </c>
      <c r="R71" s="254">
        <f t="shared" si="9"/>
        <v>0</v>
      </c>
      <c r="S71" s="285">
        <f t="shared" si="10"/>
        <v>0</v>
      </c>
      <c r="T71" s="185"/>
      <c r="U71" s="185"/>
    </row>
    <row r="72" spans="1:21" ht="13.5" thickBot="1">
      <c r="A72" s="140"/>
      <c r="B72" s="252">
        <f t="shared" si="5"/>
      </c>
      <c r="C72" s="241" t="s">
        <v>171</v>
      </c>
      <c r="D72" s="241"/>
      <c r="E72" s="241"/>
      <c r="F72" s="248"/>
      <c r="G72" s="171">
        <v>-71</v>
      </c>
      <c r="H72" s="223">
        <v>193</v>
      </c>
      <c r="I72" s="224">
        <f t="shared" si="6"/>
        <v>-13703</v>
      </c>
      <c r="J72" s="142"/>
      <c r="K72" s="142"/>
      <c r="L72" s="224">
        <f t="shared" si="7"/>
        <v>91.87943807028638</v>
      </c>
      <c r="M72" s="224">
        <f t="shared" si="8"/>
        <v>101.12056192971362</v>
      </c>
      <c r="N72" s="142"/>
      <c r="O72" s="164"/>
      <c r="Q72" s="193" t="b">
        <v>0</v>
      </c>
      <c r="R72" s="254">
        <f t="shared" si="9"/>
        <v>0</v>
      </c>
      <c r="S72" s="285">
        <f t="shared" si="10"/>
        <v>0</v>
      </c>
      <c r="T72" s="185"/>
      <c r="U72" s="185"/>
    </row>
    <row r="73" spans="1:21" ht="13.5" thickBot="1">
      <c r="A73" s="140"/>
      <c r="B73" s="286"/>
      <c r="C73" s="257"/>
      <c r="D73" s="257"/>
      <c r="E73" s="257" t="s">
        <v>165</v>
      </c>
      <c r="F73" s="258"/>
      <c r="G73" s="259">
        <f>+I73/H73</f>
        <v>-71.14</v>
      </c>
      <c r="H73" s="260">
        <f>SUM(R67:R72)</f>
        <v>13223</v>
      </c>
      <c r="I73" s="261">
        <f>SUM(S67:S72)</f>
        <v>-940684.22</v>
      </c>
      <c r="J73" s="142"/>
      <c r="K73" s="142"/>
      <c r="L73" s="262">
        <f>IF(R73=0,0,R73*(Bogie-G73)/Wheelbase)</f>
        <v>6303.2938386484775</v>
      </c>
      <c r="M73" s="261">
        <f>R73-L73</f>
        <v>6919.7061613515225</v>
      </c>
      <c r="N73" s="142"/>
      <c r="O73" s="164"/>
      <c r="Q73" s="193"/>
      <c r="R73" s="287">
        <f>SUM(R67:R72)</f>
        <v>13223</v>
      </c>
      <c r="S73" s="288">
        <f>SUM(S67:S72)</f>
        <v>-940684.22</v>
      </c>
      <c r="T73" s="185"/>
      <c r="U73" s="185"/>
    </row>
    <row r="74" spans="1:21" ht="12.75">
      <c r="A74" s="140"/>
      <c r="B74" s="229"/>
      <c r="C74" s="142"/>
      <c r="D74" s="142"/>
      <c r="E74" s="142"/>
      <c r="F74" s="142"/>
      <c r="G74" s="143"/>
      <c r="H74" s="194"/>
      <c r="I74" s="194"/>
      <c r="J74" s="142"/>
      <c r="K74" s="185"/>
      <c r="L74" s="185"/>
      <c r="M74" s="185"/>
      <c r="N74" s="185"/>
      <c r="O74" s="164"/>
      <c r="Q74" s="193"/>
      <c r="R74" s="194"/>
      <c r="S74" s="194"/>
      <c r="T74" s="185"/>
      <c r="U74" s="185"/>
    </row>
    <row r="75" spans="1:21" ht="12.75">
      <c r="A75" s="140"/>
      <c r="B75" s="142"/>
      <c r="C75" s="142"/>
      <c r="D75" s="142"/>
      <c r="E75" s="142"/>
      <c r="F75" s="142"/>
      <c r="G75" s="143"/>
      <c r="H75" s="194"/>
      <c r="I75" s="194"/>
      <c r="J75" s="142"/>
      <c r="K75" s="185"/>
      <c r="L75" s="185"/>
      <c r="M75" s="185"/>
      <c r="N75" s="185"/>
      <c r="O75" s="164"/>
      <c r="Q75" s="193"/>
      <c r="R75" s="185"/>
      <c r="S75" s="185"/>
      <c r="T75" s="185"/>
      <c r="U75" s="185"/>
    </row>
    <row r="76" spans="1:21" ht="13.5" thickBot="1">
      <c r="A76" s="140"/>
      <c r="B76" s="264" t="s">
        <v>172</v>
      </c>
      <c r="C76" s="241"/>
      <c r="D76" s="241"/>
      <c r="E76" s="242" t="s">
        <v>157</v>
      </c>
      <c r="F76" s="241"/>
      <c r="G76" s="265"/>
      <c r="H76" s="241"/>
      <c r="I76" s="248"/>
      <c r="J76" s="142"/>
      <c r="K76" s="142"/>
      <c r="L76" s="142"/>
      <c r="M76" s="142"/>
      <c r="N76" s="142"/>
      <c r="O76" s="164"/>
      <c r="Q76" s="193"/>
      <c r="R76" s="266" t="s">
        <v>173</v>
      </c>
      <c r="S76" s="185"/>
      <c r="T76" s="185"/>
      <c r="U76" s="185"/>
    </row>
    <row r="77" spans="1:21" ht="12.75">
      <c r="A77" s="140"/>
      <c r="B77" s="252" t="str">
        <f>IF(Q77,"X","")</f>
        <v>X</v>
      </c>
      <c r="C77" s="241" t="s">
        <v>174</v>
      </c>
      <c r="D77" s="241"/>
      <c r="E77" s="241"/>
      <c r="F77" s="248"/>
      <c r="G77" s="171">
        <v>-152</v>
      </c>
      <c r="H77" s="223">
        <v>4016</v>
      </c>
      <c r="I77" s="224">
        <f>+G77*H77</f>
        <v>-610432</v>
      </c>
      <c r="J77" s="142"/>
      <c r="K77" s="142"/>
      <c r="L77" s="224">
        <f>H77*(-G77+Bogie)/Wheelbase</f>
        <v>3381.255036588671</v>
      </c>
      <c r="M77" s="224">
        <f>H77-L77</f>
        <v>634.7449634113291</v>
      </c>
      <c r="N77" s="142"/>
      <c r="O77" s="164"/>
      <c r="Q77" s="193" t="b">
        <v>1</v>
      </c>
      <c r="R77" s="250">
        <f>IF(Q77,H77,0)</f>
        <v>4016</v>
      </c>
      <c r="S77" s="278">
        <f>G77*R77</f>
        <v>-610432</v>
      </c>
      <c r="T77" s="185"/>
      <c r="U77" s="185"/>
    </row>
    <row r="78" spans="1:21" ht="12.75">
      <c r="A78" s="140"/>
      <c r="B78" s="252" t="str">
        <f>IF(Q78,"X","")</f>
        <v>X</v>
      </c>
      <c r="C78" s="241" t="s">
        <v>175</v>
      </c>
      <c r="D78" s="241"/>
      <c r="E78" s="241"/>
      <c r="F78" s="248"/>
      <c r="G78" s="171">
        <v>-152</v>
      </c>
      <c r="H78" s="223">
        <v>4013</v>
      </c>
      <c r="I78" s="224">
        <f>+G78*H78</f>
        <v>-609976</v>
      </c>
      <c r="J78" s="142"/>
      <c r="K78" s="142"/>
      <c r="L78" s="224">
        <f>H78*(-G78+Bogie)/Wheelbase</f>
        <v>3378.7291986629325</v>
      </c>
      <c r="M78" s="224">
        <f>H78-L78</f>
        <v>634.2708013370675</v>
      </c>
      <c r="N78" s="142"/>
      <c r="O78" s="164"/>
      <c r="Q78" s="193" t="b">
        <v>1</v>
      </c>
      <c r="R78" s="254">
        <f>IF(Q78,H78,0)</f>
        <v>4013</v>
      </c>
      <c r="S78" s="285">
        <f>G78*R78</f>
        <v>-609976</v>
      </c>
      <c r="T78" s="185"/>
      <c r="U78" s="185"/>
    </row>
    <row r="79" spans="1:21" ht="12.75">
      <c r="A79" s="140"/>
      <c r="B79" s="252">
        <f>IF(Q79,"X","")</f>
      </c>
      <c r="C79" s="241" t="s">
        <v>175</v>
      </c>
      <c r="D79" s="241"/>
      <c r="E79" s="241"/>
      <c r="F79" s="248"/>
      <c r="G79" s="171">
        <v>-152</v>
      </c>
      <c r="H79" s="223">
        <v>4013</v>
      </c>
      <c r="I79" s="224">
        <f>+G79*H79</f>
        <v>-609976</v>
      </c>
      <c r="J79" s="142"/>
      <c r="K79" s="142"/>
      <c r="L79" s="224">
        <f>H79*(-G79+Bogie)/Wheelbase</f>
        <v>3378.7291986629325</v>
      </c>
      <c r="M79" s="224">
        <f>H79-L79</f>
        <v>634.2708013370675</v>
      </c>
      <c r="N79" s="142"/>
      <c r="O79" s="164"/>
      <c r="Q79" s="193" t="b">
        <v>0</v>
      </c>
      <c r="R79" s="254">
        <f>IF(Q79,H79,0)</f>
        <v>0</v>
      </c>
      <c r="S79" s="285">
        <f>G79*R79</f>
        <v>0</v>
      </c>
      <c r="T79" s="185"/>
      <c r="U79" s="185"/>
    </row>
    <row r="80" spans="1:21" ht="13.5" thickBot="1">
      <c r="A80" s="140"/>
      <c r="B80" s="252" t="str">
        <f>IF(Q80,"X","")</f>
        <v>X</v>
      </c>
      <c r="C80" s="241" t="s">
        <v>176</v>
      </c>
      <c r="D80" s="241"/>
      <c r="E80" s="241"/>
      <c r="F80" s="248"/>
      <c r="G80" s="171">
        <v>-152</v>
      </c>
      <c r="H80" s="223">
        <v>6013</v>
      </c>
      <c r="I80" s="224">
        <f>+G80*H80</f>
        <v>-913976</v>
      </c>
      <c r="J80" s="142"/>
      <c r="K80" s="142"/>
      <c r="L80" s="224">
        <f>H80*(-G80+Bogie)/Wheelbase</f>
        <v>5062.621149155298</v>
      </c>
      <c r="M80" s="224">
        <f>H80-L80</f>
        <v>950.3788508447024</v>
      </c>
      <c r="N80" s="142"/>
      <c r="O80" s="164"/>
      <c r="Q80" s="193" t="b">
        <v>1</v>
      </c>
      <c r="R80" s="254">
        <f>IF(Q80,H80,0)</f>
        <v>6013</v>
      </c>
      <c r="S80" s="285">
        <f>G80*R80</f>
        <v>-913976</v>
      </c>
      <c r="T80" s="185"/>
      <c r="U80" s="185"/>
    </row>
    <row r="81" spans="1:21" ht="13.5" thickBot="1">
      <c r="A81" s="140"/>
      <c r="B81" s="286"/>
      <c r="C81" s="257"/>
      <c r="D81" s="257"/>
      <c r="E81" s="257" t="s">
        <v>173</v>
      </c>
      <c r="F81" s="289"/>
      <c r="G81" s="259">
        <f>+I81/H81</f>
        <v>-152</v>
      </c>
      <c r="H81" s="260">
        <f>SUM(R77:R80)</f>
        <v>14042</v>
      </c>
      <c r="I81" s="261">
        <f>SUM(S77:S80)</f>
        <v>-2134384</v>
      </c>
      <c r="J81" s="142"/>
      <c r="K81" s="142"/>
      <c r="L81" s="262">
        <f>IF(R81=0,0,R81*(Bogie-G81)/Wheelbase)</f>
        <v>11822.605384406901</v>
      </c>
      <c r="M81" s="261">
        <f>R81-L81</f>
        <v>2219.394615593099</v>
      </c>
      <c r="N81" s="142"/>
      <c r="O81" s="164"/>
      <c r="Q81" s="193"/>
      <c r="R81" s="287">
        <f>SUM(R77:R80)</f>
        <v>14042</v>
      </c>
      <c r="S81" s="288">
        <f>SUM(S77:S80)</f>
        <v>-2134384</v>
      </c>
      <c r="T81" s="185"/>
      <c r="U81" s="185"/>
    </row>
    <row r="82" spans="1:21" ht="12.75">
      <c r="A82" s="140"/>
      <c r="B82" s="142"/>
      <c r="C82" s="142"/>
      <c r="D82" s="142"/>
      <c r="E82" s="142"/>
      <c r="F82" s="142"/>
      <c r="G82" s="143"/>
      <c r="H82" s="194"/>
      <c r="I82" s="194" t="s">
        <v>35</v>
      </c>
      <c r="J82" s="142"/>
      <c r="K82" s="185"/>
      <c r="L82" s="185"/>
      <c r="M82" s="185"/>
      <c r="N82" s="185"/>
      <c r="O82" s="164"/>
      <c r="Q82" s="193"/>
      <c r="R82" s="194"/>
      <c r="S82" s="194"/>
      <c r="T82" s="185"/>
      <c r="U82" s="185"/>
    </row>
    <row r="83" spans="1:21" ht="12.75">
      <c r="A83" s="140"/>
      <c r="B83" s="142"/>
      <c r="C83" s="142"/>
      <c r="D83" s="142"/>
      <c r="E83" s="142"/>
      <c r="F83" s="142"/>
      <c r="G83" s="143"/>
      <c r="H83" s="194"/>
      <c r="I83" s="194"/>
      <c r="J83" s="142"/>
      <c r="K83" s="185"/>
      <c r="L83" s="185"/>
      <c r="M83" s="185"/>
      <c r="N83" s="185"/>
      <c r="O83" s="164"/>
      <c r="Q83" s="193"/>
      <c r="R83" s="185"/>
      <c r="S83" s="185"/>
      <c r="T83" s="185"/>
      <c r="U83" s="185"/>
    </row>
    <row r="84" spans="1:21" ht="13.5" thickBot="1">
      <c r="A84" s="140"/>
      <c r="B84" s="264" t="s">
        <v>177</v>
      </c>
      <c r="C84" s="241"/>
      <c r="D84" s="241"/>
      <c r="E84" s="242" t="s">
        <v>157</v>
      </c>
      <c r="F84" s="241"/>
      <c r="G84" s="265"/>
      <c r="H84" s="241"/>
      <c r="I84" s="248"/>
      <c r="J84" s="142"/>
      <c r="K84" s="142"/>
      <c r="L84" s="142"/>
      <c r="M84" s="142"/>
      <c r="N84" s="142"/>
      <c r="O84" s="164"/>
      <c r="Q84" s="193"/>
      <c r="R84" s="266" t="s">
        <v>178</v>
      </c>
      <c r="S84" s="185"/>
      <c r="T84" s="185"/>
      <c r="U84" s="185"/>
    </row>
    <row r="85" spans="1:21" ht="13.5" thickBot="1">
      <c r="A85" s="140"/>
      <c r="B85" s="252" t="str">
        <f aca="true" t="shared" si="11" ref="B85:B95">IF(Q85,"X","")</f>
        <v>X</v>
      </c>
      <c r="C85" s="241" t="s">
        <v>179</v>
      </c>
      <c r="D85" s="241"/>
      <c r="E85" s="241"/>
      <c r="F85" s="248"/>
      <c r="G85" s="171">
        <v>-73.14</v>
      </c>
      <c r="H85" s="223">
        <v>43256</v>
      </c>
      <c r="I85" s="224">
        <f aca="true" t="shared" si="12" ref="I85:I95">+G85*H85</f>
        <v>-3163743.84</v>
      </c>
      <c r="J85" s="142"/>
      <c r="K85" s="142"/>
      <c r="L85" s="224">
        <f aca="true" t="shared" si="13" ref="L85:L95">H85*(-G85+Bogie)/Wheelbase</f>
        <v>21010.559580811274</v>
      </c>
      <c r="M85" s="224">
        <f aca="true" t="shared" si="14" ref="M85:M95">H85-L85</f>
        <v>22245.440419188726</v>
      </c>
      <c r="N85" s="142"/>
      <c r="O85" s="164"/>
      <c r="Q85" s="193" t="b">
        <v>1</v>
      </c>
      <c r="R85" s="250">
        <f aca="true" t="shared" si="15" ref="R85:R95">IF(Q85,H85,0)</f>
        <v>43256</v>
      </c>
      <c r="S85" s="278">
        <f aca="true" t="shared" si="16" ref="S85:S95">G85*R85</f>
        <v>-3163743.84</v>
      </c>
      <c r="T85" s="185"/>
      <c r="U85" s="185"/>
    </row>
    <row r="86" spans="1:21" ht="13.5" thickBot="1">
      <c r="A86" s="140"/>
      <c r="B86" s="252" t="str">
        <f t="shared" si="11"/>
        <v>X</v>
      </c>
      <c r="C86" s="241" t="s">
        <v>180</v>
      </c>
      <c r="D86" s="241"/>
      <c r="E86" s="241"/>
      <c r="F86" s="248"/>
      <c r="G86" s="171">
        <v>-265.06</v>
      </c>
      <c r="H86" s="223">
        <v>200</v>
      </c>
      <c r="I86" s="224">
        <f t="shared" si="12"/>
        <v>-53012</v>
      </c>
      <c r="J86" s="142"/>
      <c r="K86" s="142"/>
      <c r="L86" s="224">
        <f t="shared" si="13"/>
        <v>270.53030987442406</v>
      </c>
      <c r="M86" s="224">
        <f t="shared" si="14"/>
        <v>-70.53030987442406</v>
      </c>
      <c r="N86" s="142"/>
      <c r="O86" s="164"/>
      <c r="Q86" s="193" t="b">
        <v>1</v>
      </c>
      <c r="R86" s="250">
        <f t="shared" si="15"/>
        <v>200</v>
      </c>
      <c r="S86" s="285">
        <f t="shared" si="16"/>
        <v>-53012</v>
      </c>
      <c r="T86" s="185"/>
      <c r="U86" s="185"/>
    </row>
    <row r="87" spans="1:21" ht="13.5" thickBot="1">
      <c r="A87" s="140"/>
      <c r="B87" s="252" t="str">
        <f t="shared" si="11"/>
        <v>X</v>
      </c>
      <c r="C87" s="241" t="s">
        <v>181</v>
      </c>
      <c r="D87" s="241"/>
      <c r="E87" s="241"/>
      <c r="F87" s="248"/>
      <c r="G87" s="171">
        <v>48.39</v>
      </c>
      <c r="H87" s="223">
        <v>400</v>
      </c>
      <c r="I87" s="224">
        <f t="shared" si="12"/>
        <v>19356</v>
      </c>
      <c r="J87" s="142"/>
      <c r="K87" s="142"/>
      <c r="L87" s="224">
        <f t="shared" si="13"/>
        <v>-25.295871352425692</v>
      </c>
      <c r="M87" s="224">
        <f t="shared" si="14"/>
        <v>425.2958713524257</v>
      </c>
      <c r="N87" s="142"/>
      <c r="O87" s="164"/>
      <c r="Q87" s="193" t="b">
        <v>1</v>
      </c>
      <c r="R87" s="250">
        <f t="shared" si="15"/>
        <v>400</v>
      </c>
      <c r="S87" s="285">
        <f t="shared" si="16"/>
        <v>19356</v>
      </c>
      <c r="T87" s="185"/>
      <c r="U87" s="185"/>
    </row>
    <row r="88" spans="1:21" ht="13.5" thickBot="1">
      <c r="A88" s="140"/>
      <c r="B88" s="252">
        <f t="shared" si="11"/>
      </c>
      <c r="C88" s="241" t="s">
        <v>182</v>
      </c>
      <c r="D88" s="241"/>
      <c r="E88" s="241"/>
      <c r="F88" s="248"/>
      <c r="G88" s="171">
        <v>-246.61</v>
      </c>
      <c r="H88" s="223">
        <v>63</v>
      </c>
      <c r="I88" s="224">
        <f t="shared" si="12"/>
        <v>-15536.43</v>
      </c>
      <c r="J88" s="142"/>
      <c r="K88" s="142"/>
      <c r="L88" s="224">
        <f t="shared" si="13"/>
        <v>79.96657331285573</v>
      </c>
      <c r="M88" s="224">
        <f t="shared" si="14"/>
        <v>-16.96657331285573</v>
      </c>
      <c r="N88" s="142"/>
      <c r="O88" s="164"/>
      <c r="Q88" s="193" t="b">
        <v>0</v>
      </c>
      <c r="R88" s="250">
        <f t="shared" si="15"/>
        <v>0</v>
      </c>
      <c r="S88" s="285">
        <f t="shared" si="16"/>
        <v>0</v>
      </c>
      <c r="T88" s="185"/>
      <c r="U88" s="185"/>
    </row>
    <row r="89" spans="1:21" ht="13.5" thickBot="1">
      <c r="A89" s="140"/>
      <c r="B89" s="252">
        <f t="shared" si="11"/>
      </c>
      <c r="C89" s="241" t="s">
        <v>183</v>
      </c>
      <c r="D89" s="241"/>
      <c r="E89" s="241"/>
      <c r="F89" s="248"/>
      <c r="G89" s="171">
        <v>-290.61</v>
      </c>
      <c r="H89" s="223">
        <v>20</v>
      </c>
      <c r="I89" s="224">
        <f t="shared" si="12"/>
        <v>-5812.200000000001</v>
      </c>
      <c r="J89" s="142"/>
      <c r="K89" s="142"/>
      <c r="L89" s="224">
        <f t="shared" si="13"/>
        <v>29.361279248351252</v>
      </c>
      <c r="M89" s="224">
        <f t="shared" si="14"/>
        <v>-9.361279248351252</v>
      </c>
      <c r="N89" s="142"/>
      <c r="O89" s="164"/>
      <c r="Q89" s="193" t="b">
        <v>0</v>
      </c>
      <c r="R89" s="250">
        <f t="shared" si="15"/>
        <v>0</v>
      </c>
      <c r="S89" s="285">
        <f t="shared" si="16"/>
        <v>0</v>
      </c>
      <c r="T89" s="185"/>
      <c r="U89" s="185"/>
    </row>
    <row r="90" spans="1:21" ht="13.5" thickBot="1">
      <c r="A90" s="140"/>
      <c r="B90" s="252" t="str">
        <f t="shared" si="11"/>
        <v>X</v>
      </c>
      <c r="C90" s="241" t="s">
        <v>184</v>
      </c>
      <c r="D90" s="241"/>
      <c r="E90" s="241"/>
      <c r="F90" s="248"/>
      <c r="G90" s="171">
        <v>-292.32</v>
      </c>
      <c r="H90" s="223">
        <v>568</v>
      </c>
      <c r="I90" s="224">
        <f t="shared" si="12"/>
        <v>-166037.76</v>
      </c>
      <c r="J90" s="142"/>
      <c r="K90" s="142"/>
      <c r="L90" s="224">
        <f t="shared" si="13"/>
        <v>838.2477188544584</v>
      </c>
      <c r="M90" s="224">
        <f t="shared" si="14"/>
        <v>-270.2477188544584</v>
      </c>
      <c r="N90" s="142"/>
      <c r="O90" s="164"/>
      <c r="Q90" s="193" t="b">
        <v>1</v>
      </c>
      <c r="R90" s="250">
        <f t="shared" si="15"/>
        <v>568</v>
      </c>
      <c r="S90" s="285">
        <f t="shared" si="16"/>
        <v>-166037.76</v>
      </c>
      <c r="T90" s="185"/>
      <c r="U90" s="185"/>
    </row>
    <row r="91" spans="1:21" ht="13.5" thickBot="1">
      <c r="A91" s="140"/>
      <c r="B91" s="252" t="str">
        <f t="shared" si="11"/>
        <v>X</v>
      </c>
      <c r="C91" s="241" t="s">
        <v>185</v>
      </c>
      <c r="D91" s="241"/>
      <c r="E91" s="241"/>
      <c r="F91" s="248"/>
      <c r="G91" s="171">
        <v>-32.86</v>
      </c>
      <c r="H91" s="223">
        <v>100</v>
      </c>
      <c r="I91" s="224">
        <f t="shared" si="12"/>
        <v>-3286</v>
      </c>
      <c r="J91" s="142"/>
      <c r="K91" s="142"/>
      <c r="L91" s="224">
        <f t="shared" si="13"/>
        <v>30.377631222332642</v>
      </c>
      <c r="M91" s="224">
        <f t="shared" si="14"/>
        <v>69.62236877766736</v>
      </c>
      <c r="N91" s="142"/>
      <c r="O91" s="164"/>
      <c r="Q91" s="193" t="b">
        <v>1</v>
      </c>
      <c r="R91" s="250">
        <f t="shared" si="15"/>
        <v>100</v>
      </c>
      <c r="S91" s="285">
        <f t="shared" si="16"/>
        <v>-3286</v>
      </c>
      <c r="T91" s="185"/>
      <c r="U91" s="185"/>
    </row>
    <row r="92" spans="1:21" ht="13.5" thickBot="1">
      <c r="A92" s="140"/>
      <c r="B92" s="252">
        <f t="shared" si="11"/>
      </c>
      <c r="C92" s="241" t="s">
        <v>186</v>
      </c>
      <c r="D92" s="241"/>
      <c r="E92" s="241"/>
      <c r="F92" s="248"/>
      <c r="G92" s="171">
        <v>16.39</v>
      </c>
      <c r="H92" s="223">
        <v>-72</v>
      </c>
      <c r="I92" s="224">
        <f t="shared" si="12"/>
        <v>-1180.08</v>
      </c>
      <c r="J92" s="142"/>
      <c r="K92" s="142"/>
      <c r="L92" s="224">
        <f t="shared" si="13"/>
        <v>-5.854187370132803</v>
      </c>
      <c r="M92" s="224">
        <f t="shared" si="14"/>
        <v>-66.1458126298672</v>
      </c>
      <c r="N92" s="142"/>
      <c r="O92" s="164"/>
      <c r="Q92" s="193" t="b">
        <v>0</v>
      </c>
      <c r="R92" s="250">
        <f t="shared" si="15"/>
        <v>0</v>
      </c>
      <c r="S92" s="285">
        <f t="shared" si="16"/>
        <v>0</v>
      </c>
      <c r="T92" s="185"/>
      <c r="U92" s="185"/>
    </row>
    <row r="93" spans="1:21" ht="13.5" thickBot="1">
      <c r="A93" s="140"/>
      <c r="B93" s="252">
        <f t="shared" si="11"/>
      </c>
      <c r="C93" s="241" t="s">
        <v>187</v>
      </c>
      <c r="D93" s="241"/>
      <c r="E93" s="241"/>
      <c r="F93" s="248"/>
      <c r="G93" s="171">
        <v>41.39</v>
      </c>
      <c r="H93" s="223">
        <v>132</v>
      </c>
      <c r="I93" s="224">
        <f t="shared" si="12"/>
        <v>5463.4800000000005</v>
      </c>
      <c r="J93" s="142"/>
      <c r="K93" s="142"/>
      <c r="L93" s="224">
        <f t="shared" si="13"/>
        <v>-4.17381877315024</v>
      </c>
      <c r="M93" s="224">
        <f t="shared" si="14"/>
        <v>136.17381877315023</v>
      </c>
      <c r="N93" s="142"/>
      <c r="O93" s="164"/>
      <c r="Q93" s="193" t="b">
        <v>0</v>
      </c>
      <c r="R93" s="250">
        <f t="shared" si="15"/>
        <v>0</v>
      </c>
      <c r="S93" s="285">
        <f t="shared" si="16"/>
        <v>0</v>
      </c>
      <c r="T93" s="185"/>
      <c r="U93" s="185"/>
    </row>
    <row r="94" spans="1:21" ht="13.5" thickBot="1">
      <c r="A94" s="140"/>
      <c r="B94" s="252">
        <f t="shared" si="11"/>
      </c>
      <c r="C94" s="241" t="s">
        <v>188</v>
      </c>
      <c r="D94" s="241"/>
      <c r="E94" s="241"/>
      <c r="F94" s="248"/>
      <c r="G94" s="171">
        <v>27.39</v>
      </c>
      <c r="H94" s="223">
        <v>124</v>
      </c>
      <c r="I94" s="224">
        <f t="shared" si="12"/>
        <v>3396.36</v>
      </c>
      <c r="J94" s="142"/>
      <c r="K94" s="142"/>
      <c r="L94" s="224">
        <f t="shared" si="13"/>
        <v>3.9208600596259826</v>
      </c>
      <c r="M94" s="224">
        <f t="shared" si="14"/>
        <v>120.07913994037402</v>
      </c>
      <c r="N94" s="142"/>
      <c r="O94" s="164"/>
      <c r="Q94" s="193" t="b">
        <v>0</v>
      </c>
      <c r="R94" s="250">
        <f t="shared" si="15"/>
        <v>0</v>
      </c>
      <c r="S94" s="285">
        <f t="shared" si="16"/>
        <v>0</v>
      </c>
      <c r="T94" s="185"/>
      <c r="U94" s="185"/>
    </row>
    <row r="95" spans="1:21" ht="13.5" thickBot="1">
      <c r="A95" s="140"/>
      <c r="B95" s="252">
        <f t="shared" si="11"/>
      </c>
      <c r="C95" s="241" t="s">
        <v>189</v>
      </c>
      <c r="D95" s="241"/>
      <c r="E95" s="241"/>
      <c r="F95" s="248"/>
      <c r="G95" s="171">
        <v>120.39</v>
      </c>
      <c r="H95" s="223">
        <v>26</v>
      </c>
      <c r="I95" s="224">
        <f t="shared" si="12"/>
        <v>3130.14</v>
      </c>
      <c r="J95" s="142"/>
      <c r="K95" s="142"/>
      <c r="L95" s="224">
        <f t="shared" si="13"/>
        <v>-10.10028006143283</v>
      </c>
      <c r="M95" s="224">
        <f t="shared" si="14"/>
        <v>36.10028006143283</v>
      </c>
      <c r="N95" s="142"/>
      <c r="O95" s="164"/>
      <c r="Q95" s="193" t="b">
        <v>0</v>
      </c>
      <c r="R95" s="250">
        <f t="shared" si="15"/>
        <v>0</v>
      </c>
      <c r="S95" s="285">
        <f t="shared" si="16"/>
        <v>0</v>
      </c>
      <c r="T95" s="185"/>
      <c r="U95" s="185"/>
    </row>
    <row r="96" spans="1:21" ht="13.5" thickBot="1">
      <c r="A96" s="140"/>
      <c r="B96" s="286"/>
      <c r="C96" s="257"/>
      <c r="D96" s="257"/>
      <c r="E96" s="257" t="s">
        <v>178</v>
      </c>
      <c r="F96" s="258"/>
      <c r="G96" s="259">
        <f>+I96/H96</f>
        <v>-75.61592848800646</v>
      </c>
      <c r="H96" s="260">
        <f>SUM(R85:R95)</f>
        <v>44524</v>
      </c>
      <c r="I96" s="261">
        <f>SUM(S85:S95)</f>
        <v>-3366723.5999999996</v>
      </c>
      <c r="J96" s="142"/>
      <c r="K96" s="142"/>
      <c r="L96" s="262">
        <f>IF(R96=0,0,R96*(Bogie-(S96/R96))/Wheelbase)</f>
        <v>22124.419369410065</v>
      </c>
      <c r="M96" s="261">
        <f>R96-L96</f>
        <v>22399.580630589935</v>
      </c>
      <c r="N96" s="142"/>
      <c r="O96" s="164"/>
      <c r="Q96" s="193"/>
      <c r="R96" s="287">
        <f>SUM(R85:R95)</f>
        <v>44524</v>
      </c>
      <c r="S96" s="288">
        <f>SUM(S85:S95)</f>
        <v>-3366723.5999999996</v>
      </c>
      <c r="T96" s="185"/>
      <c r="U96" s="185"/>
    </row>
    <row r="97" spans="1:21" ht="12.75">
      <c r="A97" s="140"/>
      <c r="B97" s="142"/>
      <c r="C97" s="142"/>
      <c r="D97" s="142"/>
      <c r="E97" s="142"/>
      <c r="F97" s="142"/>
      <c r="G97" s="143"/>
      <c r="H97" s="194"/>
      <c r="I97" s="194"/>
      <c r="J97" s="194"/>
      <c r="K97" s="185"/>
      <c r="L97" s="185"/>
      <c r="M97" s="185"/>
      <c r="N97" s="185"/>
      <c r="O97" s="164"/>
      <c r="Q97" s="193"/>
      <c r="R97" s="194"/>
      <c r="S97" s="194"/>
      <c r="T97" s="185"/>
      <c r="U97" s="185"/>
    </row>
    <row r="98" spans="1:21" ht="13.5" thickBot="1">
      <c r="A98" s="140"/>
      <c r="B98" s="142"/>
      <c r="C98" s="142"/>
      <c r="D98" s="142"/>
      <c r="E98" s="142"/>
      <c r="F98" s="142"/>
      <c r="G98" s="143"/>
      <c r="H98" s="194"/>
      <c r="I98" s="194"/>
      <c r="J98" s="142"/>
      <c r="K98" s="185"/>
      <c r="L98" s="185"/>
      <c r="M98" s="185"/>
      <c r="N98" s="167"/>
      <c r="O98" s="164"/>
      <c r="Q98" s="193"/>
      <c r="R98" s="185"/>
      <c r="S98" s="194"/>
      <c r="T98" s="185"/>
      <c r="U98" s="185"/>
    </row>
    <row r="99" spans="1:21" ht="13.5" thickBot="1">
      <c r="A99" s="140"/>
      <c r="B99" s="290" t="str">
        <f aca="true" t="shared" si="17" ref="B99:B105">IF(Q99,"X","")</f>
        <v>X</v>
      </c>
      <c r="C99" s="291" t="s">
        <v>190</v>
      </c>
      <c r="D99" s="292"/>
      <c r="E99" s="292"/>
      <c r="F99" s="292"/>
      <c r="G99" s="293"/>
      <c r="H99" s="294">
        <v>6000</v>
      </c>
      <c r="I99" s="261"/>
      <c r="J99" s="142"/>
      <c r="K99" s="142"/>
      <c r="L99" s="142"/>
      <c r="M99" s="142"/>
      <c r="N99" s="295">
        <f aca="true" t="shared" si="18" ref="N99:N105">IF(Q99,H99,0)</f>
        <v>6000</v>
      </c>
      <c r="O99" s="164"/>
      <c r="Q99" s="193" t="b">
        <v>1</v>
      </c>
      <c r="R99" s="142"/>
      <c r="S99" s="194"/>
      <c r="T99" s="142"/>
      <c r="U99" s="185"/>
    </row>
    <row r="100" spans="1:21" ht="13.5" thickBot="1">
      <c r="A100" s="140"/>
      <c r="B100" s="290">
        <f t="shared" si="17"/>
      </c>
      <c r="C100" s="291" t="s">
        <v>191</v>
      </c>
      <c r="D100" s="292"/>
      <c r="E100" s="292"/>
      <c r="F100" s="292"/>
      <c r="G100" s="293"/>
      <c r="H100" s="294">
        <v>4016</v>
      </c>
      <c r="I100" s="261"/>
      <c r="J100" s="142"/>
      <c r="K100" s="142"/>
      <c r="L100" s="142"/>
      <c r="M100" s="142"/>
      <c r="N100" s="295">
        <f t="shared" si="18"/>
        <v>0</v>
      </c>
      <c r="O100" s="164"/>
      <c r="Q100" s="193" t="b">
        <v>0</v>
      </c>
      <c r="R100" s="142"/>
      <c r="S100" s="194"/>
      <c r="T100" s="142"/>
      <c r="U100" s="185"/>
    </row>
    <row r="101" spans="1:21" ht="13.5" thickBot="1">
      <c r="A101" s="140"/>
      <c r="B101" s="290">
        <f t="shared" si="17"/>
      </c>
      <c r="C101" s="291" t="s">
        <v>192</v>
      </c>
      <c r="D101" s="292"/>
      <c r="E101" s="292"/>
      <c r="F101" s="292"/>
      <c r="G101" s="293"/>
      <c r="H101" s="294">
        <v>4013</v>
      </c>
      <c r="I101" s="261"/>
      <c r="J101" s="142"/>
      <c r="K101" s="142"/>
      <c r="L101" s="142"/>
      <c r="M101" s="142"/>
      <c r="N101" s="295">
        <f t="shared" si="18"/>
        <v>0</v>
      </c>
      <c r="O101" s="164"/>
      <c r="Q101" s="193" t="b">
        <v>0</v>
      </c>
      <c r="R101" s="142"/>
      <c r="S101" s="194"/>
      <c r="T101" s="142"/>
      <c r="U101" s="185"/>
    </row>
    <row r="102" spans="1:21" ht="13.5" thickBot="1">
      <c r="A102" s="140"/>
      <c r="B102" s="290">
        <f t="shared" si="17"/>
      </c>
      <c r="C102" s="291" t="s">
        <v>192</v>
      </c>
      <c r="D102" s="292"/>
      <c r="E102" s="292"/>
      <c r="F102" s="292"/>
      <c r="G102" s="293"/>
      <c r="H102" s="294">
        <v>4013</v>
      </c>
      <c r="I102" s="261"/>
      <c r="J102" s="142"/>
      <c r="K102" s="142"/>
      <c r="L102" s="142"/>
      <c r="M102" s="142"/>
      <c r="N102" s="295">
        <f t="shared" si="18"/>
        <v>0</v>
      </c>
      <c r="O102" s="164"/>
      <c r="Q102" s="193" t="b">
        <v>0</v>
      </c>
      <c r="R102" s="142"/>
      <c r="S102" s="194"/>
      <c r="T102" s="142"/>
      <c r="U102" s="185"/>
    </row>
    <row r="103" spans="1:21" ht="13.5" thickBot="1">
      <c r="A103" s="140"/>
      <c r="B103" s="290">
        <f t="shared" si="17"/>
      </c>
      <c r="C103" s="291" t="s">
        <v>193</v>
      </c>
      <c r="D103" s="292"/>
      <c r="E103" s="292"/>
      <c r="F103" s="292"/>
      <c r="G103" s="293"/>
      <c r="H103" s="294">
        <v>6013</v>
      </c>
      <c r="I103" s="261"/>
      <c r="J103" s="142"/>
      <c r="K103" s="142"/>
      <c r="L103" s="142"/>
      <c r="M103" s="142"/>
      <c r="N103" s="295">
        <f t="shared" si="18"/>
        <v>0</v>
      </c>
      <c r="O103" s="164"/>
      <c r="Q103" s="193" t="b">
        <v>0</v>
      </c>
      <c r="R103" s="142"/>
      <c r="S103" s="194"/>
      <c r="T103" s="142"/>
      <c r="U103" s="185"/>
    </row>
    <row r="104" spans="1:21" ht="13.5" thickBot="1">
      <c r="A104" s="140"/>
      <c r="B104" s="290">
        <f t="shared" si="17"/>
      </c>
      <c r="C104" s="291" t="s">
        <v>194</v>
      </c>
      <c r="D104" s="292"/>
      <c r="E104" s="292"/>
      <c r="F104" s="292"/>
      <c r="G104" s="293"/>
      <c r="H104" s="294">
        <v>1275</v>
      </c>
      <c r="I104" s="261"/>
      <c r="J104" s="142"/>
      <c r="K104" s="142"/>
      <c r="L104" s="142"/>
      <c r="M104" s="142"/>
      <c r="N104" s="295">
        <f t="shared" si="18"/>
        <v>0</v>
      </c>
      <c r="O104" s="164"/>
      <c r="Q104" s="193" t="b">
        <v>0</v>
      </c>
      <c r="R104" s="142"/>
      <c r="S104" s="194"/>
      <c r="T104" s="142"/>
      <c r="U104" s="185"/>
    </row>
    <row r="105" spans="1:21" ht="13.5" thickBot="1">
      <c r="A105" s="140"/>
      <c r="B105" s="290">
        <f t="shared" si="17"/>
      </c>
      <c r="C105" s="291" t="s">
        <v>195</v>
      </c>
      <c r="D105" s="292"/>
      <c r="E105" s="292"/>
      <c r="F105" s="292"/>
      <c r="G105" s="293"/>
      <c r="H105" s="294">
        <v>823</v>
      </c>
      <c r="I105" s="261"/>
      <c r="J105" s="142"/>
      <c r="K105" s="142"/>
      <c r="L105" s="142"/>
      <c r="M105" s="142"/>
      <c r="N105" s="295">
        <f t="shared" si="18"/>
        <v>0</v>
      </c>
      <c r="O105" s="164"/>
      <c r="Q105" s="193" t="b">
        <v>0</v>
      </c>
      <c r="R105" s="142"/>
      <c r="S105" s="194"/>
      <c r="T105" s="142"/>
      <c r="U105" s="185"/>
    </row>
    <row r="106" spans="1:21" ht="13.5" thickBot="1">
      <c r="A106" s="140"/>
      <c r="B106" s="286"/>
      <c r="C106" s="257"/>
      <c r="D106" s="257"/>
      <c r="E106" s="257" t="s">
        <v>196</v>
      </c>
      <c r="F106" s="257"/>
      <c r="G106" s="293"/>
      <c r="H106" s="260">
        <f>SUM(N99:N105)</f>
        <v>6000</v>
      </c>
      <c r="I106" s="261"/>
      <c r="J106" s="142"/>
      <c r="K106" s="142"/>
      <c r="L106" s="194"/>
      <c r="M106" s="194"/>
      <c r="N106" s="295">
        <f>SUM(N99:N105)</f>
        <v>6000</v>
      </c>
      <c r="O106" s="164"/>
      <c r="Q106" s="193"/>
      <c r="R106" s="194"/>
      <c r="S106" s="194"/>
      <c r="T106" s="142"/>
      <c r="U106" s="185"/>
    </row>
    <row r="107" spans="1:21" ht="13.5" thickBot="1">
      <c r="A107" s="296"/>
      <c r="B107" s="297"/>
      <c r="C107" s="298"/>
      <c r="D107" s="298"/>
      <c r="E107" s="298"/>
      <c r="F107" s="297"/>
      <c r="G107" s="299"/>
      <c r="H107" s="297"/>
      <c r="I107" s="297"/>
      <c r="J107" s="297"/>
      <c r="K107" s="297"/>
      <c r="L107" s="297"/>
      <c r="M107" s="297"/>
      <c r="N107" s="297"/>
      <c r="O107" s="300"/>
      <c r="Q107" s="193"/>
      <c r="R107" s="194"/>
      <c r="S107" s="194"/>
      <c r="T107" s="185"/>
      <c r="U107" s="185"/>
    </row>
    <row r="108" spans="7:17" ht="13.5" thickTop="1">
      <c r="G108" s="139"/>
      <c r="P108" s="139"/>
      <c r="Q108" s="139"/>
    </row>
    <row r="109" ht="12.75">
      <c r="G109" s="139"/>
    </row>
    <row r="110" ht="12.75">
      <c r="G110" s="139"/>
    </row>
  </sheetData>
  <printOptions horizontalCentered="1"/>
  <pageMargins left="0.94" right="0.52" top="0.57" bottom="0.64" header="0.53" footer="0.5"/>
  <pageSetup fitToHeight="1" fitToWidth="1" horizontalDpi="300" verticalDpi="300" orientation="portrait" scale="49" r:id="rId3"/>
  <headerFooter alignWithMargins="0">
    <oddFooter>&amp;LFile: &amp;F, &amp;A&amp;CPage &amp;P&amp;RPrinted: &amp;D &amp;T</oddFooter>
  </headerFooter>
  <rowBreaks count="1" manualBreakCount="1">
    <brk id="101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TMS800E Weight Sheets (XLS) </dc:title>
  <dc:subject/>
  <dc:creator>md07927</dc:creator>
  <cp:keywords/>
  <dc:description/>
  <cp:lastModifiedBy>md07927</cp:lastModifiedBy>
  <dcterms:created xsi:type="dcterms:W3CDTF">2009-06-15T14:40:47Z</dcterms:created>
  <dcterms:modified xsi:type="dcterms:W3CDTF">2009-06-15T14:42:40Z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4.00000000000000</vt:lpwstr>
  </property>
  <property fmtid="{D5CDD505-2E9C-101B-9397-08002B2CF9AE}" pid="5" name="ContentTy">
    <vt:lpwstr>Document</vt:lpwstr>
  </property>
  <property fmtid="{D5CDD505-2E9C-101B-9397-08002B2CF9AE}" pid="6" name="Produ">
    <vt:lpwstr>;#Truck Mounted;#</vt:lpwstr>
  </property>
</Properties>
</file>